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essi\Dropbox\Cap Pricing Tool\"/>
    </mc:Choice>
  </mc:AlternateContent>
  <xr:revisionPtr revIDLastSave="0" documentId="13_ncr:1_{0EAAB258-56B4-4BC2-8BE9-433FFC154755}" xr6:coauthVersionLast="47" xr6:coauthVersionMax="47" xr10:uidLastSave="{00000000-0000-0000-0000-000000000000}"/>
  <bookViews>
    <workbookView xWindow="57495" yWindow="0" windowWidth="26475" windowHeight="14745" tabRatio="723" xr2:uid="{00000000-000D-0000-FFFF-FFFF00000000}"/>
  </bookViews>
  <sheets>
    <sheet name="Cap Pricer" sheetId="22" r:id="rId1"/>
    <sheet name="Volatilities_Resets" sheetId="28" state="veryHidden" r:id="rId2"/>
    <sheet name="Calculator" sheetId="7" state="veryHidden" r:id="rId3"/>
    <sheet name="DataValidation" sheetId="26" state="veryHidden" r:id="rId4"/>
    <sheet name="Vols - Forward Curve" sheetId="27" state="veryHidden" r:id="rId5"/>
  </sheets>
  <definedNames>
    <definedName name="notional">'Cap Pricer'!$E$18</definedName>
    <definedName name="StepUp1">'Cap Pricer'!$E$25</definedName>
    <definedName name="StepUp2">'Cap Pricer'!$E$26</definedName>
    <definedName name="StepUp3">'Cap Pricer'!$E$27</definedName>
    <definedName name="StepUp4">'Cap Pricer'!$E$28</definedName>
    <definedName name="StepUp5">'Cap Pricer'!$E$29</definedName>
    <definedName name="StepUp6">'Cap Pricer'!$E$30</definedName>
    <definedName name="StepUp7">'Cap Pricer'!$E$31</definedName>
    <definedName name="strike">'Cap Pricer'!$E$23</definedName>
    <definedName name="strikeType">'Cap Pricer'!$E$22</definedName>
    <definedName name="term">'Cap Pricer'!$E$19</definedName>
    <definedName name="test">DataValidation!$A$14</definedName>
    <definedName name="triggers">'Cap Pricer'!$E$20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5" i="27" l="1"/>
  <c r="N85" i="27" s="1"/>
  <c r="B85" i="27"/>
  <c r="D84" i="27"/>
  <c r="P84" i="27" s="1"/>
  <c r="B84" i="27"/>
  <c r="D83" i="27"/>
  <c r="N83" i="27" s="1"/>
  <c r="B83" i="27"/>
  <c r="D82" i="27"/>
  <c r="M82" i="27" s="1"/>
  <c r="B82" i="27"/>
  <c r="D81" i="27"/>
  <c r="P81" i="27" s="1"/>
  <c r="B81" i="27"/>
  <c r="D80" i="27"/>
  <c r="P80" i="27" s="1"/>
  <c r="B80" i="27"/>
  <c r="D79" i="27"/>
  <c r="P79" i="27" s="1"/>
  <c r="B79" i="27"/>
  <c r="D78" i="27"/>
  <c r="P78" i="27" s="1"/>
  <c r="B78" i="27"/>
  <c r="D77" i="27"/>
  <c r="P77" i="27" s="1"/>
  <c r="B77" i="27"/>
  <c r="D76" i="27"/>
  <c r="P76" i="27" s="1"/>
  <c r="B76" i="27"/>
  <c r="D75" i="27"/>
  <c r="N75" i="27" s="1"/>
  <c r="B75" i="27"/>
  <c r="D74" i="27"/>
  <c r="M74" i="27" s="1"/>
  <c r="B74" i="27"/>
  <c r="D73" i="27"/>
  <c r="P73" i="27" s="1"/>
  <c r="B73" i="27"/>
  <c r="D72" i="27"/>
  <c r="P72" i="27" s="1"/>
  <c r="B72" i="27"/>
  <c r="D71" i="27"/>
  <c r="P71" i="27" s="1"/>
  <c r="B71" i="27"/>
  <c r="D70" i="27"/>
  <c r="P70" i="27" s="1"/>
  <c r="B70" i="27"/>
  <c r="D69" i="27"/>
  <c r="P69" i="27" s="1"/>
  <c r="B69" i="27"/>
  <c r="D68" i="27"/>
  <c r="P68" i="27" s="1"/>
  <c r="B68" i="27"/>
  <c r="D67" i="27"/>
  <c r="N67" i="27" s="1"/>
  <c r="B67" i="27"/>
  <c r="D66" i="27"/>
  <c r="M66" i="27" s="1"/>
  <c r="B66" i="27"/>
  <c r="D65" i="27"/>
  <c r="P65" i="27" s="1"/>
  <c r="B65" i="27"/>
  <c r="D64" i="27"/>
  <c r="P64" i="27" s="1"/>
  <c r="B64" i="27"/>
  <c r="D63" i="27"/>
  <c r="P63" i="27" s="1"/>
  <c r="B63" i="27"/>
  <c r="D62" i="27"/>
  <c r="P62" i="27" s="1"/>
  <c r="B62" i="27"/>
  <c r="D61" i="27"/>
  <c r="N61" i="27" s="1"/>
  <c r="B61" i="27"/>
  <c r="D60" i="27"/>
  <c r="P60" i="27" s="1"/>
  <c r="B60" i="27"/>
  <c r="D59" i="27"/>
  <c r="N59" i="27" s="1"/>
  <c r="B59" i="27"/>
  <c r="D58" i="27"/>
  <c r="M58" i="27" s="1"/>
  <c r="B58" i="27"/>
  <c r="D57" i="27"/>
  <c r="P57" i="27" s="1"/>
  <c r="B57" i="27"/>
  <c r="D56" i="27"/>
  <c r="P56" i="27" s="1"/>
  <c r="B56" i="27"/>
  <c r="D55" i="27"/>
  <c r="P55" i="27" s="1"/>
  <c r="B55" i="27"/>
  <c r="D54" i="27"/>
  <c r="P54" i="27" s="1"/>
  <c r="B54" i="27"/>
  <c r="D53" i="27"/>
  <c r="N53" i="27" s="1"/>
  <c r="B53" i="27"/>
  <c r="D52" i="27"/>
  <c r="P52" i="27" s="1"/>
  <c r="B52" i="27"/>
  <c r="D51" i="27"/>
  <c r="N51" i="27" s="1"/>
  <c r="B51" i="27"/>
  <c r="D50" i="27"/>
  <c r="M50" i="27" s="1"/>
  <c r="B50" i="27"/>
  <c r="D49" i="27"/>
  <c r="P49" i="27" s="1"/>
  <c r="B49" i="27"/>
  <c r="D48" i="27"/>
  <c r="P48" i="27" s="1"/>
  <c r="B48" i="27"/>
  <c r="D47" i="27"/>
  <c r="P47" i="27" s="1"/>
  <c r="B47" i="27"/>
  <c r="D46" i="27"/>
  <c r="P46" i="27" s="1"/>
  <c r="B46" i="27"/>
  <c r="D45" i="27"/>
  <c r="N45" i="27" s="1"/>
  <c r="B45" i="27"/>
  <c r="D44" i="27"/>
  <c r="P44" i="27" s="1"/>
  <c r="B44" i="27"/>
  <c r="D43" i="27"/>
  <c r="N43" i="27" s="1"/>
  <c r="B43" i="27"/>
  <c r="D42" i="27"/>
  <c r="M42" i="27" s="1"/>
  <c r="B42" i="27"/>
  <c r="D41" i="27"/>
  <c r="P41" i="27" s="1"/>
  <c r="B41" i="27"/>
  <c r="D40" i="27"/>
  <c r="P40" i="27" s="1"/>
  <c r="B40" i="27"/>
  <c r="D39" i="27"/>
  <c r="P39" i="27" s="1"/>
  <c r="B39" i="27"/>
  <c r="D38" i="27"/>
  <c r="P38" i="27" s="1"/>
  <c r="B38" i="27"/>
  <c r="D37" i="27"/>
  <c r="N37" i="27" s="1"/>
  <c r="B37" i="27"/>
  <c r="D36" i="27"/>
  <c r="P36" i="27" s="1"/>
  <c r="B36" i="27"/>
  <c r="D35" i="27"/>
  <c r="N35" i="27" s="1"/>
  <c r="B35" i="27"/>
  <c r="D34" i="27"/>
  <c r="M34" i="27" s="1"/>
  <c r="B34" i="27"/>
  <c r="D33" i="27"/>
  <c r="P33" i="27" s="1"/>
  <c r="B33" i="27"/>
  <c r="D32" i="27"/>
  <c r="P32" i="27" s="1"/>
  <c r="B32" i="27"/>
  <c r="D31" i="27"/>
  <c r="P31" i="27" s="1"/>
  <c r="B31" i="27"/>
  <c r="D30" i="27"/>
  <c r="P30" i="27" s="1"/>
  <c r="B30" i="27"/>
  <c r="D29" i="27"/>
  <c r="N29" i="27" s="1"/>
  <c r="B29" i="27"/>
  <c r="D28" i="27"/>
  <c r="P28" i="27" s="1"/>
  <c r="B28" i="27"/>
  <c r="D27" i="27"/>
  <c r="N27" i="27" s="1"/>
  <c r="B27" i="27"/>
  <c r="D26" i="27"/>
  <c r="M26" i="27" s="1"/>
  <c r="B26" i="27"/>
  <c r="D25" i="27"/>
  <c r="P25" i="27" s="1"/>
  <c r="B25" i="27"/>
  <c r="D24" i="27"/>
  <c r="P24" i="27" s="1"/>
  <c r="B24" i="27"/>
  <c r="D23" i="27"/>
  <c r="P23" i="27" s="1"/>
  <c r="B23" i="27"/>
  <c r="D22" i="27"/>
  <c r="P22" i="27" s="1"/>
  <c r="B22" i="27"/>
  <c r="D21" i="27"/>
  <c r="N21" i="27" s="1"/>
  <c r="B21" i="27"/>
  <c r="D20" i="27"/>
  <c r="P20" i="27" s="1"/>
  <c r="B20" i="27"/>
  <c r="D19" i="27"/>
  <c r="N19" i="27" s="1"/>
  <c r="B19" i="27"/>
  <c r="D18" i="27"/>
  <c r="M18" i="27" s="1"/>
  <c r="B18" i="27"/>
  <c r="D17" i="27"/>
  <c r="P17" i="27" s="1"/>
  <c r="B17" i="27"/>
  <c r="D16" i="27"/>
  <c r="P16" i="27" s="1"/>
  <c r="B16" i="27"/>
  <c r="D15" i="27"/>
  <c r="P15" i="27" s="1"/>
  <c r="B15" i="27"/>
  <c r="D14" i="27"/>
  <c r="M14" i="27" s="1"/>
  <c r="B14" i="27"/>
  <c r="D13" i="27"/>
  <c r="N13" i="27" s="1"/>
  <c r="B13" i="27"/>
  <c r="D12" i="27"/>
  <c r="P12" i="27" s="1"/>
  <c r="B12" i="27"/>
  <c r="D11" i="27"/>
  <c r="P11" i="27" s="1"/>
  <c r="B11" i="27"/>
  <c r="D10" i="27"/>
  <c r="M10" i="27" s="1"/>
  <c r="B10" i="27"/>
  <c r="D9" i="27"/>
  <c r="P9" i="27" s="1"/>
  <c r="B9" i="27"/>
  <c r="D8" i="27"/>
  <c r="P8" i="27" s="1"/>
  <c r="B8" i="27"/>
  <c r="D7" i="27"/>
  <c r="P7" i="27" s="1"/>
  <c r="B7" i="27"/>
  <c r="D6" i="27"/>
  <c r="M6" i="27" s="1"/>
  <c r="B6" i="27"/>
  <c r="D5" i="27"/>
  <c r="N5" i="27" s="1"/>
  <c r="B5" i="27"/>
  <c r="D4" i="27"/>
  <c r="P4" i="27" s="1"/>
  <c r="B4" i="27"/>
  <c r="D3" i="27"/>
  <c r="P3" i="27" s="1"/>
  <c r="B3" i="27"/>
  <c r="S2" i="27"/>
  <c r="S3" i="27" s="1"/>
  <c r="S4" i="27" s="1"/>
  <c r="S5" i="27" s="1"/>
  <c r="S6" i="27" s="1"/>
  <c r="S7" i="27" s="1"/>
  <c r="S8" i="27" s="1"/>
  <c r="S9" i="27" s="1"/>
  <c r="S10" i="27" s="1"/>
  <c r="S11" i="27" s="1"/>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S81" i="27" s="1"/>
  <c r="S82" i="27" s="1"/>
  <c r="S83" i="27" s="1"/>
  <c r="S84" i="27" s="1"/>
  <c r="S85" i="27" s="1"/>
  <c r="S86" i="27" s="1"/>
  <c r="D2" i="27"/>
  <c r="P2" i="27" s="1"/>
  <c r="B2" i="27"/>
  <c r="A2" i="27"/>
  <c r="R25" i="26"/>
  <c r="L25" i="26"/>
  <c r="R24" i="26"/>
  <c r="L24" i="26"/>
  <c r="R23" i="26"/>
  <c r="L23" i="26"/>
  <c r="R22" i="26"/>
  <c r="L22" i="26"/>
  <c r="I20" i="26"/>
  <c r="L18" i="26"/>
  <c r="L17" i="26"/>
  <c r="L16" i="26"/>
  <c r="L15" i="26"/>
  <c r="I13" i="26"/>
  <c r="Q9" i="22" s="1"/>
  <c r="Q10" i="22" s="1"/>
  <c r="CI98" i="7"/>
  <c r="CH98" i="7"/>
  <c r="CG98" i="7"/>
  <c r="BP98" i="7"/>
  <c r="BO98" i="7"/>
  <c r="BN98" i="7"/>
  <c r="AW98" i="7"/>
  <c r="AV98" i="7"/>
  <c r="AU98" i="7"/>
  <c r="AD98" i="7"/>
  <c r="AC98" i="7"/>
  <c r="AB98" i="7"/>
  <c r="J98" i="7"/>
  <c r="I98" i="7"/>
  <c r="K98" i="7" s="1"/>
  <c r="CI97" i="7"/>
  <c r="CH97" i="7"/>
  <c r="CG97" i="7"/>
  <c r="BP97" i="7"/>
  <c r="BO97" i="7"/>
  <c r="BN97" i="7"/>
  <c r="AW97" i="7"/>
  <c r="AV97" i="7"/>
  <c r="AU97" i="7"/>
  <c r="AD97" i="7"/>
  <c r="AC97" i="7"/>
  <c r="AB97" i="7"/>
  <c r="J97" i="7"/>
  <c r="I97" i="7"/>
  <c r="K97" i="7" s="1"/>
  <c r="CI96" i="7"/>
  <c r="CH96" i="7"/>
  <c r="CG96" i="7"/>
  <c r="BP96" i="7"/>
  <c r="BO96" i="7"/>
  <c r="BN96" i="7"/>
  <c r="AW96" i="7"/>
  <c r="AV96" i="7"/>
  <c r="AU96" i="7"/>
  <c r="AD96" i="7"/>
  <c r="AC96" i="7"/>
  <c r="AB96" i="7"/>
  <c r="J96" i="7"/>
  <c r="I96" i="7"/>
  <c r="K96" i="7" s="1"/>
  <c r="CI95" i="7"/>
  <c r="CH95" i="7"/>
  <c r="CG95" i="7"/>
  <c r="BP95" i="7"/>
  <c r="BO95" i="7"/>
  <c r="BN95" i="7"/>
  <c r="AW95" i="7"/>
  <c r="AV95" i="7"/>
  <c r="AU95" i="7"/>
  <c r="AD95" i="7"/>
  <c r="AC95" i="7"/>
  <c r="AB95" i="7"/>
  <c r="J95" i="7"/>
  <c r="I95" i="7"/>
  <c r="K95" i="7" s="1"/>
  <c r="CI94" i="7"/>
  <c r="CH94" i="7"/>
  <c r="CG94" i="7"/>
  <c r="BP94" i="7"/>
  <c r="BO94" i="7"/>
  <c r="BN94" i="7"/>
  <c r="AW94" i="7"/>
  <c r="AV94" i="7"/>
  <c r="AU94" i="7"/>
  <c r="AD94" i="7"/>
  <c r="AC94" i="7"/>
  <c r="AB94" i="7"/>
  <c r="J94" i="7"/>
  <c r="I94" i="7"/>
  <c r="K94" i="7" s="1"/>
  <c r="CI93" i="7"/>
  <c r="CH93" i="7"/>
  <c r="CG93" i="7"/>
  <c r="BP93" i="7"/>
  <c r="BO93" i="7"/>
  <c r="BN93" i="7"/>
  <c r="AW93" i="7"/>
  <c r="AV93" i="7"/>
  <c r="AU93" i="7"/>
  <c r="AD93" i="7"/>
  <c r="AC93" i="7"/>
  <c r="AB93" i="7"/>
  <c r="J93" i="7"/>
  <c r="I93" i="7"/>
  <c r="K93" i="7" s="1"/>
  <c r="CI92" i="7"/>
  <c r="CH92" i="7"/>
  <c r="CG92" i="7"/>
  <c r="BP92" i="7"/>
  <c r="BO92" i="7"/>
  <c r="BN92" i="7"/>
  <c r="AW92" i="7"/>
  <c r="AV92" i="7"/>
  <c r="AU92" i="7"/>
  <c r="AD92" i="7"/>
  <c r="AC92" i="7"/>
  <c r="AB92" i="7"/>
  <c r="J92" i="7"/>
  <c r="I92" i="7"/>
  <c r="K92" i="7" s="1"/>
  <c r="CI91" i="7"/>
  <c r="CH91" i="7"/>
  <c r="CG91" i="7"/>
  <c r="BP91" i="7"/>
  <c r="BO91" i="7"/>
  <c r="BN91" i="7"/>
  <c r="AW91" i="7"/>
  <c r="AV91" i="7"/>
  <c r="AU91" i="7"/>
  <c r="AD91" i="7"/>
  <c r="AC91" i="7"/>
  <c r="AB91" i="7"/>
  <c r="J91" i="7"/>
  <c r="I91" i="7"/>
  <c r="K91" i="7" s="1"/>
  <c r="CI90" i="7"/>
  <c r="CH90" i="7"/>
  <c r="CG90" i="7"/>
  <c r="BP90" i="7"/>
  <c r="BO90" i="7"/>
  <c r="BN90" i="7"/>
  <c r="AW90" i="7"/>
  <c r="AV90" i="7"/>
  <c r="AU90" i="7"/>
  <c r="AD90" i="7"/>
  <c r="AC90" i="7"/>
  <c r="AB90" i="7"/>
  <c r="J90" i="7"/>
  <c r="I90" i="7"/>
  <c r="K90" i="7" s="1"/>
  <c r="CI89" i="7"/>
  <c r="CH89" i="7"/>
  <c r="CG89" i="7"/>
  <c r="BP89" i="7"/>
  <c r="BO89" i="7"/>
  <c r="BN89" i="7"/>
  <c r="AW89" i="7"/>
  <c r="AV89" i="7"/>
  <c r="AU89" i="7"/>
  <c r="AD89" i="7"/>
  <c r="AC89" i="7"/>
  <c r="AB89" i="7"/>
  <c r="J89" i="7"/>
  <c r="I89" i="7"/>
  <c r="K89" i="7" s="1"/>
  <c r="CI88" i="7"/>
  <c r="CH88" i="7"/>
  <c r="CG88" i="7"/>
  <c r="BP88" i="7"/>
  <c r="BO88" i="7"/>
  <c r="BN88" i="7"/>
  <c r="AW88" i="7"/>
  <c r="AV88" i="7"/>
  <c r="AU88" i="7"/>
  <c r="AD88" i="7"/>
  <c r="AC88" i="7"/>
  <c r="AB88" i="7"/>
  <c r="J88" i="7"/>
  <c r="I88" i="7"/>
  <c r="K88" i="7" s="1"/>
  <c r="CI87" i="7"/>
  <c r="CH87" i="7"/>
  <c r="CG87" i="7"/>
  <c r="BP87" i="7"/>
  <c r="BO87" i="7"/>
  <c r="BN87" i="7"/>
  <c r="AW87" i="7"/>
  <c r="AV87" i="7"/>
  <c r="AU87" i="7"/>
  <c r="AD87" i="7"/>
  <c r="AC87" i="7"/>
  <c r="AB87" i="7"/>
  <c r="J87" i="7"/>
  <c r="I87" i="7"/>
  <c r="K87" i="7" s="1"/>
  <c r="CI86" i="7"/>
  <c r="CH86" i="7"/>
  <c r="CG86" i="7"/>
  <c r="BP86" i="7"/>
  <c r="BO86" i="7"/>
  <c r="BN86" i="7"/>
  <c r="AW86" i="7"/>
  <c r="AV86" i="7"/>
  <c r="AU86" i="7"/>
  <c r="AD86" i="7"/>
  <c r="AC86" i="7"/>
  <c r="AB86" i="7"/>
  <c r="J86" i="7"/>
  <c r="I86" i="7"/>
  <c r="K86" i="7" s="1"/>
  <c r="CI85" i="7"/>
  <c r="CH85" i="7"/>
  <c r="CG85" i="7"/>
  <c r="BP85" i="7"/>
  <c r="BO85" i="7"/>
  <c r="BN85" i="7"/>
  <c r="AW85" i="7"/>
  <c r="AV85" i="7"/>
  <c r="AU85" i="7"/>
  <c r="AD85" i="7"/>
  <c r="AC85" i="7"/>
  <c r="AB85" i="7"/>
  <c r="J85" i="7"/>
  <c r="I85" i="7"/>
  <c r="K85" i="7" s="1"/>
  <c r="CI84" i="7"/>
  <c r="CH84" i="7"/>
  <c r="CG84" i="7"/>
  <c r="BP84" i="7"/>
  <c r="BO84" i="7"/>
  <c r="BN84" i="7"/>
  <c r="AW84" i="7"/>
  <c r="AV84" i="7"/>
  <c r="AU84" i="7"/>
  <c r="AD84" i="7"/>
  <c r="AC84" i="7"/>
  <c r="AB84" i="7"/>
  <c r="J84" i="7"/>
  <c r="I84" i="7"/>
  <c r="K84" i="7" s="1"/>
  <c r="CI83" i="7"/>
  <c r="CH83" i="7"/>
  <c r="CG83" i="7"/>
  <c r="BP83" i="7"/>
  <c r="BO83" i="7"/>
  <c r="BN83" i="7"/>
  <c r="AW83" i="7"/>
  <c r="AV83" i="7"/>
  <c r="AU83" i="7"/>
  <c r="AD83" i="7"/>
  <c r="AC83" i="7"/>
  <c r="AB83" i="7"/>
  <c r="J83" i="7"/>
  <c r="I83" i="7"/>
  <c r="K83" i="7" s="1"/>
  <c r="CI82" i="7"/>
  <c r="CH82" i="7"/>
  <c r="CG82" i="7"/>
  <c r="BP82" i="7"/>
  <c r="BO82" i="7"/>
  <c r="BN82" i="7"/>
  <c r="AW82" i="7"/>
  <c r="AV82" i="7"/>
  <c r="AU82" i="7"/>
  <c r="AD82" i="7"/>
  <c r="AC82" i="7"/>
  <c r="AB82" i="7"/>
  <c r="J82" i="7"/>
  <c r="I82" i="7"/>
  <c r="K82" i="7" s="1"/>
  <c r="CI81" i="7"/>
  <c r="CH81" i="7"/>
  <c r="CG81" i="7"/>
  <c r="BP81" i="7"/>
  <c r="BO81" i="7"/>
  <c r="BN81" i="7"/>
  <c r="AW81" i="7"/>
  <c r="AV81" i="7"/>
  <c r="AU81" i="7"/>
  <c r="AD81" i="7"/>
  <c r="AC81" i="7"/>
  <c r="AB81" i="7"/>
  <c r="J81" i="7"/>
  <c r="I81" i="7"/>
  <c r="K81" i="7" s="1"/>
  <c r="CI80" i="7"/>
  <c r="CH80" i="7"/>
  <c r="CG80" i="7"/>
  <c r="BP80" i="7"/>
  <c r="BO80" i="7"/>
  <c r="BN80" i="7"/>
  <c r="AW80" i="7"/>
  <c r="AV80" i="7"/>
  <c r="AU80" i="7"/>
  <c r="AD80" i="7"/>
  <c r="AC80" i="7"/>
  <c r="AB80" i="7"/>
  <c r="J80" i="7"/>
  <c r="I80" i="7"/>
  <c r="K80" i="7" s="1"/>
  <c r="CI79" i="7"/>
  <c r="CH79" i="7"/>
  <c r="CG79" i="7"/>
  <c r="BP79" i="7"/>
  <c r="BO79" i="7"/>
  <c r="BN79" i="7"/>
  <c r="AW79" i="7"/>
  <c r="AV79" i="7"/>
  <c r="AU79" i="7"/>
  <c r="AD79" i="7"/>
  <c r="AC79" i="7"/>
  <c r="AB79" i="7"/>
  <c r="J79" i="7"/>
  <c r="I79" i="7"/>
  <c r="K79" i="7" s="1"/>
  <c r="CI78" i="7"/>
  <c r="CH78" i="7"/>
  <c r="CG78" i="7"/>
  <c r="BP78" i="7"/>
  <c r="BO78" i="7"/>
  <c r="BN78" i="7"/>
  <c r="AW78" i="7"/>
  <c r="AV78" i="7"/>
  <c r="AU78" i="7"/>
  <c r="AD78" i="7"/>
  <c r="AC78" i="7"/>
  <c r="AB78" i="7"/>
  <c r="J78" i="7"/>
  <c r="I78" i="7"/>
  <c r="K78" i="7" s="1"/>
  <c r="CI77" i="7"/>
  <c r="CH77" i="7"/>
  <c r="CG77" i="7"/>
  <c r="BP77" i="7"/>
  <c r="BO77" i="7"/>
  <c r="BN77" i="7"/>
  <c r="AW77" i="7"/>
  <c r="AV77" i="7"/>
  <c r="AU77" i="7"/>
  <c r="AD77" i="7"/>
  <c r="AC77" i="7"/>
  <c r="AB77" i="7"/>
  <c r="J77" i="7"/>
  <c r="I77" i="7"/>
  <c r="K77" i="7" s="1"/>
  <c r="CI76" i="7"/>
  <c r="CH76" i="7"/>
  <c r="CG76" i="7"/>
  <c r="BP76" i="7"/>
  <c r="BO76" i="7"/>
  <c r="BN76" i="7"/>
  <c r="AW76" i="7"/>
  <c r="AV76" i="7"/>
  <c r="AU76" i="7"/>
  <c r="AD76" i="7"/>
  <c r="AC76" i="7"/>
  <c r="AB76" i="7"/>
  <c r="J76" i="7"/>
  <c r="I76" i="7"/>
  <c r="K76" i="7" s="1"/>
  <c r="CI75" i="7"/>
  <c r="CH75" i="7"/>
  <c r="CG75" i="7"/>
  <c r="BP75" i="7"/>
  <c r="BO75" i="7"/>
  <c r="BN75" i="7"/>
  <c r="AW75" i="7"/>
  <c r="AV75" i="7"/>
  <c r="AU75" i="7"/>
  <c r="AD75" i="7"/>
  <c r="AC75" i="7"/>
  <c r="AB75" i="7"/>
  <c r="J75" i="7"/>
  <c r="I75" i="7"/>
  <c r="K75" i="7" s="1"/>
  <c r="CI74" i="7"/>
  <c r="CH74" i="7"/>
  <c r="CG74" i="7"/>
  <c r="BP74" i="7"/>
  <c r="BO74" i="7"/>
  <c r="BN74" i="7"/>
  <c r="AW74" i="7"/>
  <c r="AV74" i="7"/>
  <c r="AU74" i="7"/>
  <c r="AD74" i="7"/>
  <c r="AC74" i="7"/>
  <c r="AB74" i="7"/>
  <c r="J74" i="7"/>
  <c r="I74" i="7"/>
  <c r="K74" i="7" s="1"/>
  <c r="CI73" i="7"/>
  <c r="CH73" i="7"/>
  <c r="CG73" i="7"/>
  <c r="BP73" i="7"/>
  <c r="BO73" i="7"/>
  <c r="BN73" i="7"/>
  <c r="AW73" i="7"/>
  <c r="AV73" i="7"/>
  <c r="AU73" i="7"/>
  <c r="AD73" i="7"/>
  <c r="AC73" i="7"/>
  <c r="AB73" i="7"/>
  <c r="J73" i="7"/>
  <c r="I73" i="7"/>
  <c r="K73" i="7" s="1"/>
  <c r="CI72" i="7"/>
  <c r="CH72" i="7"/>
  <c r="CG72" i="7"/>
  <c r="BP72" i="7"/>
  <c r="BO72" i="7"/>
  <c r="BN72" i="7"/>
  <c r="AW72" i="7"/>
  <c r="AV72" i="7"/>
  <c r="AU72" i="7"/>
  <c r="AD72" i="7"/>
  <c r="AC72" i="7"/>
  <c r="AB72" i="7"/>
  <c r="J72" i="7"/>
  <c r="I72" i="7"/>
  <c r="K72" i="7" s="1"/>
  <c r="CI71" i="7"/>
  <c r="CH71" i="7"/>
  <c r="CG71" i="7"/>
  <c r="BP71" i="7"/>
  <c r="BO71" i="7"/>
  <c r="BN71" i="7"/>
  <c r="AW71" i="7"/>
  <c r="AV71" i="7"/>
  <c r="AU71" i="7"/>
  <c r="AD71" i="7"/>
  <c r="AC71" i="7"/>
  <c r="AB71" i="7"/>
  <c r="J71" i="7"/>
  <c r="I71" i="7"/>
  <c r="K71" i="7" s="1"/>
  <c r="CI70" i="7"/>
  <c r="CH70" i="7"/>
  <c r="CG70" i="7"/>
  <c r="BP70" i="7"/>
  <c r="BO70" i="7"/>
  <c r="BN70" i="7"/>
  <c r="AW70" i="7"/>
  <c r="AV70" i="7"/>
  <c r="AU70" i="7"/>
  <c r="AD70" i="7"/>
  <c r="AC70" i="7"/>
  <c r="AB70" i="7"/>
  <c r="J70" i="7"/>
  <c r="I70" i="7"/>
  <c r="K70" i="7" s="1"/>
  <c r="CI69" i="7"/>
  <c r="CH69" i="7"/>
  <c r="CG69" i="7"/>
  <c r="BP69" i="7"/>
  <c r="BO69" i="7"/>
  <c r="BN69" i="7"/>
  <c r="AW69" i="7"/>
  <c r="AV69" i="7"/>
  <c r="AU69" i="7"/>
  <c r="AD69" i="7"/>
  <c r="AC69" i="7"/>
  <c r="AB69" i="7"/>
  <c r="J69" i="7"/>
  <c r="I69" i="7"/>
  <c r="K69" i="7" s="1"/>
  <c r="CI68" i="7"/>
  <c r="CH68" i="7"/>
  <c r="CG68" i="7"/>
  <c r="BP68" i="7"/>
  <c r="BO68" i="7"/>
  <c r="BN68" i="7"/>
  <c r="AW68" i="7"/>
  <c r="AV68" i="7"/>
  <c r="AU68" i="7"/>
  <c r="AD68" i="7"/>
  <c r="AC68" i="7"/>
  <c r="AB68" i="7"/>
  <c r="J68" i="7"/>
  <c r="I68" i="7"/>
  <c r="K68" i="7" s="1"/>
  <c r="CI67" i="7"/>
  <c r="CH67" i="7"/>
  <c r="CG67" i="7"/>
  <c r="BP67" i="7"/>
  <c r="BO67" i="7"/>
  <c r="BN67" i="7"/>
  <c r="AW67" i="7"/>
  <c r="AV67" i="7"/>
  <c r="AU67" i="7"/>
  <c r="AD67" i="7"/>
  <c r="AC67" i="7"/>
  <c r="AB67" i="7"/>
  <c r="J67" i="7"/>
  <c r="I67" i="7"/>
  <c r="K67" i="7" s="1"/>
  <c r="CI66" i="7"/>
  <c r="CH66" i="7"/>
  <c r="CG66" i="7"/>
  <c r="BP66" i="7"/>
  <c r="BO66" i="7"/>
  <c r="BN66" i="7"/>
  <c r="AW66" i="7"/>
  <c r="AV66" i="7"/>
  <c r="AU66" i="7"/>
  <c r="AD66" i="7"/>
  <c r="AC66" i="7"/>
  <c r="AB66" i="7"/>
  <c r="J66" i="7"/>
  <c r="I66" i="7"/>
  <c r="K66" i="7" s="1"/>
  <c r="CI65" i="7"/>
  <c r="CH65" i="7"/>
  <c r="CG65" i="7"/>
  <c r="BP65" i="7"/>
  <c r="BO65" i="7"/>
  <c r="BN65" i="7"/>
  <c r="AW65" i="7"/>
  <c r="AV65" i="7"/>
  <c r="AU65" i="7"/>
  <c r="AD65" i="7"/>
  <c r="AC65" i="7"/>
  <c r="AB65" i="7"/>
  <c r="J65" i="7"/>
  <c r="I65" i="7"/>
  <c r="K65" i="7" s="1"/>
  <c r="CI64" i="7"/>
  <c r="CH64" i="7"/>
  <c r="CG64" i="7"/>
  <c r="BP64" i="7"/>
  <c r="BO64" i="7"/>
  <c r="BN64" i="7"/>
  <c r="AW64" i="7"/>
  <c r="AV64" i="7"/>
  <c r="AU64" i="7"/>
  <c r="AD64" i="7"/>
  <c r="AC64" i="7"/>
  <c r="AB64" i="7"/>
  <c r="J64" i="7"/>
  <c r="I64" i="7"/>
  <c r="K64" i="7" s="1"/>
  <c r="CI63" i="7"/>
  <c r="CH63" i="7"/>
  <c r="CG63" i="7"/>
  <c r="BP63" i="7"/>
  <c r="BO63" i="7"/>
  <c r="BN63" i="7"/>
  <c r="AW63" i="7"/>
  <c r="AV63" i="7"/>
  <c r="AU63" i="7"/>
  <c r="AD63" i="7"/>
  <c r="AC63" i="7"/>
  <c r="AB63" i="7"/>
  <c r="J63" i="7"/>
  <c r="I63" i="7"/>
  <c r="K63" i="7" s="1"/>
  <c r="CI62" i="7"/>
  <c r="CH62" i="7"/>
  <c r="CG62" i="7"/>
  <c r="BP62" i="7"/>
  <c r="BO62" i="7"/>
  <c r="BN62" i="7"/>
  <c r="AW62" i="7"/>
  <c r="AV62" i="7"/>
  <c r="AU62" i="7"/>
  <c r="AD62" i="7"/>
  <c r="AC62" i="7"/>
  <c r="AB62" i="7"/>
  <c r="J62" i="7"/>
  <c r="I62" i="7"/>
  <c r="K62" i="7" s="1"/>
  <c r="CI61" i="7"/>
  <c r="CH61" i="7"/>
  <c r="CG61" i="7"/>
  <c r="BP61" i="7"/>
  <c r="BO61" i="7"/>
  <c r="BN61" i="7"/>
  <c r="AW61" i="7"/>
  <c r="AV61" i="7"/>
  <c r="AU61" i="7"/>
  <c r="AD61" i="7"/>
  <c r="AC61" i="7"/>
  <c r="AB61" i="7"/>
  <c r="J61" i="7"/>
  <c r="I61" i="7"/>
  <c r="K61" i="7" s="1"/>
  <c r="CI60" i="7"/>
  <c r="CH60" i="7"/>
  <c r="CG60" i="7"/>
  <c r="BP60" i="7"/>
  <c r="BO60" i="7"/>
  <c r="BN60" i="7"/>
  <c r="AW60" i="7"/>
  <c r="AV60" i="7"/>
  <c r="AU60" i="7"/>
  <c r="AD60" i="7"/>
  <c r="AC60" i="7"/>
  <c r="AB60" i="7"/>
  <c r="J60" i="7"/>
  <c r="I60" i="7"/>
  <c r="K60" i="7" s="1"/>
  <c r="CI59" i="7"/>
  <c r="CH59" i="7"/>
  <c r="CG59" i="7"/>
  <c r="BP59" i="7"/>
  <c r="BO59" i="7"/>
  <c r="BN59" i="7"/>
  <c r="AW59" i="7"/>
  <c r="AV59" i="7"/>
  <c r="AU59" i="7"/>
  <c r="AD59" i="7"/>
  <c r="AC59" i="7"/>
  <c r="AB59" i="7"/>
  <c r="J59" i="7"/>
  <c r="I59" i="7"/>
  <c r="K59" i="7" s="1"/>
  <c r="CI58" i="7"/>
  <c r="CH58" i="7"/>
  <c r="CG58" i="7"/>
  <c r="BP58" i="7"/>
  <c r="BO58" i="7"/>
  <c r="BN58" i="7"/>
  <c r="AW58" i="7"/>
  <c r="AV58" i="7"/>
  <c r="AU58" i="7"/>
  <c r="AD58" i="7"/>
  <c r="AC58" i="7"/>
  <c r="AB58" i="7"/>
  <c r="J58" i="7"/>
  <c r="I58" i="7"/>
  <c r="K58" i="7" s="1"/>
  <c r="CI57" i="7"/>
  <c r="CH57" i="7"/>
  <c r="CG57" i="7"/>
  <c r="BP57" i="7"/>
  <c r="BO57" i="7"/>
  <c r="BN57" i="7"/>
  <c r="AW57" i="7"/>
  <c r="AV57" i="7"/>
  <c r="AU57" i="7"/>
  <c r="AD57" i="7"/>
  <c r="AC57" i="7"/>
  <c r="AB57" i="7"/>
  <c r="J57" i="7"/>
  <c r="I57" i="7"/>
  <c r="K57" i="7" s="1"/>
  <c r="CI56" i="7"/>
  <c r="CH56" i="7"/>
  <c r="CG56" i="7"/>
  <c r="BP56" i="7"/>
  <c r="BO56" i="7"/>
  <c r="BN56" i="7"/>
  <c r="AW56" i="7"/>
  <c r="AV56" i="7"/>
  <c r="AU56" i="7"/>
  <c r="AD56" i="7"/>
  <c r="AC56" i="7"/>
  <c r="AB56" i="7"/>
  <c r="J56" i="7"/>
  <c r="I56" i="7"/>
  <c r="K56" i="7" s="1"/>
  <c r="CI55" i="7"/>
  <c r="CH55" i="7"/>
  <c r="CG55" i="7"/>
  <c r="BP55" i="7"/>
  <c r="BO55" i="7"/>
  <c r="BN55" i="7"/>
  <c r="AW55" i="7"/>
  <c r="AV55" i="7"/>
  <c r="AU55" i="7"/>
  <c r="AD55" i="7"/>
  <c r="AC55" i="7"/>
  <c r="AB55" i="7"/>
  <c r="J55" i="7"/>
  <c r="I55" i="7"/>
  <c r="K55" i="7" s="1"/>
  <c r="CI54" i="7"/>
  <c r="CH54" i="7"/>
  <c r="CG54" i="7"/>
  <c r="BP54" i="7"/>
  <c r="BO54" i="7"/>
  <c r="BN54" i="7"/>
  <c r="AW54" i="7"/>
  <c r="AV54" i="7"/>
  <c r="AU54" i="7"/>
  <c r="AD54" i="7"/>
  <c r="AC54" i="7"/>
  <c r="AB54" i="7"/>
  <c r="J54" i="7"/>
  <c r="I54" i="7"/>
  <c r="K54" i="7" s="1"/>
  <c r="CI53" i="7"/>
  <c r="CH53" i="7"/>
  <c r="CG53" i="7"/>
  <c r="BP53" i="7"/>
  <c r="BO53" i="7"/>
  <c r="BN53" i="7"/>
  <c r="AW53" i="7"/>
  <c r="AV53" i="7"/>
  <c r="AU53" i="7"/>
  <c r="AD53" i="7"/>
  <c r="AC53" i="7"/>
  <c r="AB53" i="7"/>
  <c r="J53" i="7"/>
  <c r="I53" i="7"/>
  <c r="K53" i="7" s="1"/>
  <c r="CI52" i="7"/>
  <c r="CH52" i="7"/>
  <c r="CG52" i="7"/>
  <c r="BP52" i="7"/>
  <c r="BO52" i="7"/>
  <c r="BN52" i="7"/>
  <c r="AW52" i="7"/>
  <c r="AV52" i="7"/>
  <c r="AU52" i="7"/>
  <c r="AD52" i="7"/>
  <c r="AC52" i="7"/>
  <c r="AB52" i="7"/>
  <c r="J52" i="7"/>
  <c r="I52" i="7"/>
  <c r="K52" i="7" s="1"/>
  <c r="CI51" i="7"/>
  <c r="CH51" i="7"/>
  <c r="CG51" i="7"/>
  <c r="BP51" i="7"/>
  <c r="BO51" i="7"/>
  <c r="BN51" i="7"/>
  <c r="AW51" i="7"/>
  <c r="AV51" i="7"/>
  <c r="AU51" i="7"/>
  <c r="AD51" i="7"/>
  <c r="AC51" i="7"/>
  <c r="AB51" i="7"/>
  <c r="J51" i="7"/>
  <c r="I51" i="7"/>
  <c r="K51" i="7" s="1"/>
  <c r="CI50" i="7"/>
  <c r="CH50" i="7"/>
  <c r="CG50" i="7"/>
  <c r="BP50" i="7"/>
  <c r="BO50" i="7"/>
  <c r="BN50" i="7"/>
  <c r="AW50" i="7"/>
  <c r="AV50" i="7"/>
  <c r="AU50" i="7"/>
  <c r="AD50" i="7"/>
  <c r="AC50" i="7"/>
  <c r="AB50" i="7"/>
  <c r="J50" i="7"/>
  <c r="I50" i="7"/>
  <c r="K50" i="7" s="1"/>
  <c r="CI49" i="7"/>
  <c r="CH49" i="7"/>
  <c r="CG49" i="7"/>
  <c r="BP49" i="7"/>
  <c r="BO49" i="7"/>
  <c r="BN49" i="7"/>
  <c r="AW49" i="7"/>
  <c r="AV49" i="7"/>
  <c r="AU49" i="7"/>
  <c r="AD49" i="7"/>
  <c r="AC49" i="7"/>
  <c r="AB49" i="7"/>
  <c r="J49" i="7"/>
  <c r="I49" i="7"/>
  <c r="K49" i="7" s="1"/>
  <c r="CI48" i="7"/>
  <c r="CH48" i="7"/>
  <c r="CG48" i="7"/>
  <c r="BP48" i="7"/>
  <c r="BO48" i="7"/>
  <c r="BN48" i="7"/>
  <c r="AW48" i="7"/>
  <c r="AV48" i="7"/>
  <c r="AU48" i="7"/>
  <c r="AD48" i="7"/>
  <c r="AC48" i="7"/>
  <c r="AB48" i="7"/>
  <c r="J48" i="7"/>
  <c r="I48" i="7"/>
  <c r="K48" i="7" s="1"/>
  <c r="CI47" i="7"/>
  <c r="CH47" i="7"/>
  <c r="CG47" i="7"/>
  <c r="BP47" i="7"/>
  <c r="BO47" i="7"/>
  <c r="BN47" i="7"/>
  <c r="AW47" i="7"/>
  <c r="AV47" i="7"/>
  <c r="AU47" i="7"/>
  <c r="AD47" i="7"/>
  <c r="AC47" i="7"/>
  <c r="AB47" i="7"/>
  <c r="J47" i="7"/>
  <c r="I47" i="7"/>
  <c r="K47" i="7" s="1"/>
  <c r="CI46" i="7"/>
  <c r="CH46" i="7"/>
  <c r="CG46" i="7"/>
  <c r="BP46" i="7"/>
  <c r="BO46" i="7"/>
  <c r="BN46" i="7"/>
  <c r="AW46" i="7"/>
  <c r="AV46" i="7"/>
  <c r="AU46" i="7"/>
  <c r="AD46" i="7"/>
  <c r="AC46" i="7"/>
  <c r="AB46" i="7"/>
  <c r="J46" i="7"/>
  <c r="I46" i="7"/>
  <c r="K46" i="7" s="1"/>
  <c r="CI45" i="7"/>
  <c r="CH45" i="7"/>
  <c r="CG45" i="7"/>
  <c r="BP45" i="7"/>
  <c r="BO45" i="7"/>
  <c r="BN45" i="7"/>
  <c r="AW45" i="7"/>
  <c r="AV45" i="7"/>
  <c r="AU45" i="7"/>
  <c r="AD45" i="7"/>
  <c r="AC45" i="7"/>
  <c r="AB45" i="7"/>
  <c r="J45" i="7"/>
  <c r="I45" i="7"/>
  <c r="K45" i="7" s="1"/>
  <c r="CI44" i="7"/>
  <c r="CH44" i="7"/>
  <c r="CG44" i="7"/>
  <c r="BP44" i="7"/>
  <c r="BO44" i="7"/>
  <c r="BN44" i="7"/>
  <c r="AW44" i="7"/>
  <c r="AV44" i="7"/>
  <c r="AU44" i="7"/>
  <c r="AD44" i="7"/>
  <c r="AC44" i="7"/>
  <c r="AB44" i="7"/>
  <c r="J44" i="7"/>
  <c r="I44" i="7"/>
  <c r="K44" i="7" s="1"/>
  <c r="CI43" i="7"/>
  <c r="CH43" i="7"/>
  <c r="CG43" i="7"/>
  <c r="BP43" i="7"/>
  <c r="BO43" i="7"/>
  <c r="BN43" i="7"/>
  <c r="AW43" i="7"/>
  <c r="AV43" i="7"/>
  <c r="AU43" i="7"/>
  <c r="AD43" i="7"/>
  <c r="AC43" i="7"/>
  <c r="AB43" i="7"/>
  <c r="J43" i="7"/>
  <c r="I43" i="7"/>
  <c r="K43" i="7" s="1"/>
  <c r="CI42" i="7"/>
  <c r="CH42" i="7"/>
  <c r="CG42" i="7"/>
  <c r="BP42" i="7"/>
  <c r="BO42" i="7"/>
  <c r="BN42" i="7"/>
  <c r="AW42" i="7"/>
  <c r="AV42" i="7"/>
  <c r="AU42" i="7"/>
  <c r="AD42" i="7"/>
  <c r="AC42" i="7"/>
  <c r="AB42" i="7"/>
  <c r="J42" i="7"/>
  <c r="I42" i="7"/>
  <c r="K42" i="7" s="1"/>
  <c r="CI41" i="7"/>
  <c r="CH41" i="7"/>
  <c r="CG41" i="7"/>
  <c r="BP41" i="7"/>
  <c r="BO41" i="7"/>
  <c r="BN41" i="7"/>
  <c r="AW41" i="7"/>
  <c r="AV41" i="7"/>
  <c r="AU41" i="7"/>
  <c r="AD41" i="7"/>
  <c r="AC41" i="7"/>
  <c r="AB41" i="7"/>
  <c r="J41" i="7"/>
  <c r="I41" i="7"/>
  <c r="K41" i="7" s="1"/>
  <c r="CI40" i="7"/>
  <c r="CH40" i="7"/>
  <c r="CG40" i="7"/>
  <c r="BP40" i="7"/>
  <c r="BO40" i="7"/>
  <c r="BN40" i="7"/>
  <c r="AW40" i="7"/>
  <c r="AV40" i="7"/>
  <c r="AU40" i="7"/>
  <c r="AD40" i="7"/>
  <c r="AC40" i="7"/>
  <c r="AB40" i="7"/>
  <c r="J40" i="7"/>
  <c r="I40" i="7"/>
  <c r="K40" i="7" s="1"/>
  <c r="CI39" i="7"/>
  <c r="CH39" i="7"/>
  <c r="CG39" i="7"/>
  <c r="BP39" i="7"/>
  <c r="BO39" i="7"/>
  <c r="BN39" i="7"/>
  <c r="AW39" i="7"/>
  <c r="AV39" i="7"/>
  <c r="AU39" i="7"/>
  <c r="AD39" i="7"/>
  <c r="AC39" i="7"/>
  <c r="AB39" i="7"/>
  <c r="J39" i="7"/>
  <c r="I39" i="7"/>
  <c r="K39" i="7" s="1"/>
  <c r="CI38" i="7"/>
  <c r="CH38" i="7"/>
  <c r="CG38" i="7"/>
  <c r="BP38" i="7"/>
  <c r="BO38" i="7"/>
  <c r="BN38" i="7"/>
  <c r="AW38" i="7"/>
  <c r="AV38" i="7"/>
  <c r="AU38" i="7"/>
  <c r="AD38" i="7"/>
  <c r="AC38" i="7"/>
  <c r="AB38" i="7"/>
  <c r="J38" i="7"/>
  <c r="I38" i="7"/>
  <c r="K38" i="7" s="1"/>
  <c r="CI37" i="7"/>
  <c r="CH37" i="7"/>
  <c r="CG37" i="7"/>
  <c r="BP37" i="7"/>
  <c r="BO37" i="7"/>
  <c r="BN37" i="7"/>
  <c r="AW37" i="7"/>
  <c r="AV37" i="7"/>
  <c r="AU37" i="7"/>
  <c r="AD37" i="7"/>
  <c r="AC37" i="7"/>
  <c r="AB37" i="7"/>
  <c r="J37" i="7"/>
  <c r="I37" i="7"/>
  <c r="K37" i="7" s="1"/>
  <c r="CI36" i="7"/>
  <c r="CH36" i="7"/>
  <c r="CG36" i="7"/>
  <c r="BP36" i="7"/>
  <c r="BO36" i="7"/>
  <c r="BN36" i="7"/>
  <c r="AW36" i="7"/>
  <c r="AV36" i="7"/>
  <c r="AU36" i="7"/>
  <c r="AD36" i="7"/>
  <c r="AC36" i="7"/>
  <c r="AB36" i="7"/>
  <c r="J36" i="7"/>
  <c r="I36" i="7"/>
  <c r="K36" i="7" s="1"/>
  <c r="CI35" i="7"/>
  <c r="CH35" i="7"/>
  <c r="CG35" i="7"/>
  <c r="BP35" i="7"/>
  <c r="BO35" i="7"/>
  <c r="BN35" i="7"/>
  <c r="AW35" i="7"/>
  <c r="AV35" i="7"/>
  <c r="AU35" i="7"/>
  <c r="AD35" i="7"/>
  <c r="AC35" i="7"/>
  <c r="AB35" i="7"/>
  <c r="J35" i="7"/>
  <c r="I35" i="7"/>
  <c r="K35" i="7" s="1"/>
  <c r="CI34" i="7"/>
  <c r="CH34" i="7"/>
  <c r="CG34" i="7"/>
  <c r="BP34" i="7"/>
  <c r="BO34" i="7"/>
  <c r="BN34" i="7"/>
  <c r="AW34" i="7"/>
  <c r="AV34" i="7"/>
  <c r="AU34" i="7"/>
  <c r="AD34" i="7"/>
  <c r="AC34" i="7"/>
  <c r="AB34" i="7"/>
  <c r="J34" i="7"/>
  <c r="I34" i="7"/>
  <c r="K34" i="7" s="1"/>
  <c r="CI33" i="7"/>
  <c r="CH33" i="7"/>
  <c r="CG33" i="7"/>
  <c r="BP33" i="7"/>
  <c r="BO33" i="7"/>
  <c r="BN33" i="7"/>
  <c r="AW33" i="7"/>
  <c r="AV33" i="7"/>
  <c r="AU33" i="7"/>
  <c r="AD33" i="7"/>
  <c r="AC33" i="7"/>
  <c r="AB33" i="7"/>
  <c r="J33" i="7"/>
  <c r="I33" i="7"/>
  <c r="K33" i="7" s="1"/>
  <c r="CI32" i="7"/>
  <c r="CH32" i="7"/>
  <c r="CG32" i="7"/>
  <c r="BP32" i="7"/>
  <c r="BO32" i="7"/>
  <c r="BN32" i="7"/>
  <c r="AW32" i="7"/>
  <c r="AV32" i="7"/>
  <c r="AU32" i="7"/>
  <c r="AD32" i="7"/>
  <c r="AC32" i="7"/>
  <c r="AB32" i="7"/>
  <c r="J32" i="7"/>
  <c r="I32" i="7"/>
  <c r="K32" i="7" s="1"/>
  <c r="CI31" i="7"/>
  <c r="CH31" i="7"/>
  <c r="CG31" i="7"/>
  <c r="BP31" i="7"/>
  <c r="BO31" i="7"/>
  <c r="BN31" i="7"/>
  <c r="AW31" i="7"/>
  <c r="AV31" i="7"/>
  <c r="AU31" i="7"/>
  <c r="AD31" i="7"/>
  <c r="AC31" i="7"/>
  <c r="AB31" i="7"/>
  <c r="J31" i="7"/>
  <c r="I31" i="7"/>
  <c r="K31" i="7" s="1"/>
  <c r="CI30" i="7"/>
  <c r="CH30" i="7"/>
  <c r="CG30" i="7"/>
  <c r="BP30" i="7"/>
  <c r="BO30" i="7"/>
  <c r="BN30" i="7"/>
  <c r="AW30" i="7"/>
  <c r="AV30" i="7"/>
  <c r="AU30" i="7"/>
  <c r="AD30" i="7"/>
  <c r="AC30" i="7"/>
  <c r="AB30" i="7"/>
  <c r="J30" i="7"/>
  <c r="I30" i="7"/>
  <c r="K30" i="7" s="1"/>
  <c r="CI29" i="7"/>
  <c r="CH29" i="7"/>
  <c r="CG29" i="7"/>
  <c r="BP29" i="7"/>
  <c r="BO29" i="7"/>
  <c r="BN29" i="7"/>
  <c r="AW29" i="7"/>
  <c r="AV29" i="7"/>
  <c r="AU29" i="7"/>
  <c r="AD29" i="7"/>
  <c r="AC29" i="7"/>
  <c r="AB29" i="7"/>
  <c r="J29" i="7"/>
  <c r="I29" i="7"/>
  <c r="K29" i="7" s="1"/>
  <c r="CI28" i="7"/>
  <c r="CH28" i="7"/>
  <c r="CG28" i="7"/>
  <c r="BP28" i="7"/>
  <c r="BO28" i="7"/>
  <c r="BN28" i="7"/>
  <c r="AW28" i="7"/>
  <c r="AV28" i="7"/>
  <c r="AU28" i="7"/>
  <c r="AD28" i="7"/>
  <c r="AC28" i="7"/>
  <c r="AB28" i="7"/>
  <c r="J28" i="7"/>
  <c r="I28" i="7"/>
  <c r="K28" i="7" s="1"/>
  <c r="CI27" i="7"/>
  <c r="CH27" i="7"/>
  <c r="CG27" i="7"/>
  <c r="BP27" i="7"/>
  <c r="BO27" i="7"/>
  <c r="BN27" i="7"/>
  <c r="AW27" i="7"/>
  <c r="AV27" i="7"/>
  <c r="AU27" i="7"/>
  <c r="AD27" i="7"/>
  <c r="AC27" i="7"/>
  <c r="AB27" i="7"/>
  <c r="J27" i="7"/>
  <c r="I27" i="7"/>
  <c r="K27" i="7" s="1"/>
  <c r="CI26" i="7"/>
  <c r="CH26" i="7"/>
  <c r="CG26" i="7"/>
  <c r="BP26" i="7"/>
  <c r="BO26" i="7"/>
  <c r="BN26" i="7"/>
  <c r="AW26" i="7"/>
  <c r="AV26" i="7"/>
  <c r="AU26" i="7"/>
  <c r="AD26" i="7"/>
  <c r="AC26" i="7"/>
  <c r="AB26" i="7"/>
  <c r="J26" i="7"/>
  <c r="I26" i="7"/>
  <c r="K26" i="7" s="1"/>
  <c r="CI25" i="7"/>
  <c r="CH25" i="7"/>
  <c r="CG25" i="7"/>
  <c r="BP25" i="7"/>
  <c r="BO25" i="7"/>
  <c r="BN25" i="7"/>
  <c r="AW25" i="7"/>
  <c r="AV25" i="7"/>
  <c r="AU25" i="7"/>
  <c r="AD25" i="7"/>
  <c r="AC25" i="7"/>
  <c r="AB25" i="7"/>
  <c r="J25" i="7"/>
  <c r="I25" i="7"/>
  <c r="K25" i="7" s="1"/>
  <c r="CI24" i="7"/>
  <c r="CH24" i="7"/>
  <c r="CG24" i="7"/>
  <c r="BP24" i="7"/>
  <c r="BO24" i="7"/>
  <c r="BN24" i="7"/>
  <c r="AW24" i="7"/>
  <c r="AV24" i="7"/>
  <c r="AU24" i="7"/>
  <c r="AD24" i="7"/>
  <c r="AC24" i="7"/>
  <c r="AB24" i="7"/>
  <c r="J24" i="7"/>
  <c r="I24" i="7"/>
  <c r="K24" i="7" s="1"/>
  <c r="CI23" i="7"/>
  <c r="CH23" i="7"/>
  <c r="CG23" i="7"/>
  <c r="BP23" i="7"/>
  <c r="BO23" i="7"/>
  <c r="BN23" i="7"/>
  <c r="AW23" i="7"/>
  <c r="AV23" i="7"/>
  <c r="AU23" i="7"/>
  <c r="AD23" i="7"/>
  <c r="AC23" i="7"/>
  <c r="AB23" i="7"/>
  <c r="J23" i="7"/>
  <c r="I23" i="7"/>
  <c r="K23" i="7" s="1"/>
  <c r="CI22" i="7"/>
  <c r="CH22" i="7"/>
  <c r="CG22" i="7"/>
  <c r="BP22" i="7"/>
  <c r="BO22" i="7"/>
  <c r="BN22" i="7"/>
  <c r="AW22" i="7"/>
  <c r="AV22" i="7"/>
  <c r="AU22" i="7"/>
  <c r="AD22" i="7"/>
  <c r="AC22" i="7"/>
  <c r="AB22" i="7"/>
  <c r="J22" i="7"/>
  <c r="I22" i="7"/>
  <c r="K22" i="7" s="1"/>
  <c r="CI21" i="7"/>
  <c r="CH21" i="7"/>
  <c r="CG21" i="7"/>
  <c r="BP21" i="7"/>
  <c r="BO21" i="7"/>
  <c r="BN21" i="7"/>
  <c r="AW21" i="7"/>
  <c r="AV21" i="7"/>
  <c r="AU21" i="7"/>
  <c r="AD21" i="7"/>
  <c r="AC21" i="7"/>
  <c r="AB21" i="7"/>
  <c r="J21" i="7"/>
  <c r="I21" i="7"/>
  <c r="K21" i="7" s="1"/>
  <c r="CI20" i="7"/>
  <c r="CH20" i="7"/>
  <c r="CG20" i="7"/>
  <c r="BP20" i="7"/>
  <c r="BO20" i="7"/>
  <c r="BN20" i="7"/>
  <c r="AW20" i="7"/>
  <c r="AV20" i="7"/>
  <c r="AU20" i="7"/>
  <c r="AD20" i="7"/>
  <c r="AC20" i="7"/>
  <c r="AB20" i="7"/>
  <c r="J20" i="7"/>
  <c r="I20" i="7"/>
  <c r="K20" i="7" s="1"/>
  <c r="CI19" i="7"/>
  <c r="CH19" i="7"/>
  <c r="CG19" i="7"/>
  <c r="BP19" i="7"/>
  <c r="BO19" i="7"/>
  <c r="BN19" i="7"/>
  <c r="AW19" i="7"/>
  <c r="AV19" i="7"/>
  <c r="AU19" i="7"/>
  <c r="AD19" i="7"/>
  <c r="AC19" i="7"/>
  <c r="AB19" i="7"/>
  <c r="J19" i="7"/>
  <c r="I19" i="7"/>
  <c r="K19" i="7" s="1"/>
  <c r="CI18" i="7"/>
  <c r="CH18" i="7"/>
  <c r="CG18" i="7"/>
  <c r="BP18" i="7"/>
  <c r="BO18" i="7"/>
  <c r="BN18" i="7"/>
  <c r="AW18" i="7"/>
  <c r="AV18" i="7"/>
  <c r="AU18" i="7"/>
  <c r="AD18" i="7"/>
  <c r="AC18" i="7"/>
  <c r="AB18" i="7"/>
  <c r="J18" i="7"/>
  <c r="I18" i="7"/>
  <c r="K18" i="7" s="1"/>
  <c r="CI17" i="7"/>
  <c r="CH17" i="7"/>
  <c r="CG17" i="7"/>
  <c r="BP17" i="7"/>
  <c r="BO17" i="7"/>
  <c r="BN17" i="7"/>
  <c r="AW17" i="7"/>
  <c r="AV17" i="7"/>
  <c r="AU17" i="7"/>
  <c r="AD17" i="7"/>
  <c r="AC17" i="7"/>
  <c r="AB17" i="7"/>
  <c r="J17" i="7"/>
  <c r="I17" i="7"/>
  <c r="K17" i="7" s="1"/>
  <c r="CI16" i="7"/>
  <c r="CH16" i="7"/>
  <c r="CG16" i="7"/>
  <c r="BP16" i="7"/>
  <c r="BO16" i="7"/>
  <c r="BN16" i="7"/>
  <c r="AW16" i="7"/>
  <c r="AV16" i="7"/>
  <c r="AU16" i="7"/>
  <c r="AD16" i="7"/>
  <c r="AC16" i="7"/>
  <c r="AB16" i="7"/>
  <c r="J16" i="7"/>
  <c r="I16" i="7"/>
  <c r="K16" i="7" s="1"/>
  <c r="CI15" i="7"/>
  <c r="CH15" i="7"/>
  <c r="CG15" i="7"/>
  <c r="BP15" i="7"/>
  <c r="BO15" i="7"/>
  <c r="BN15" i="7"/>
  <c r="AW15" i="7"/>
  <c r="AV15" i="7"/>
  <c r="AU15" i="7"/>
  <c r="AD15" i="7"/>
  <c r="AC15" i="7"/>
  <c r="AB15" i="7"/>
  <c r="J15" i="7"/>
  <c r="I15" i="7"/>
  <c r="K15" i="7" s="1"/>
  <c r="D15" i="7"/>
  <c r="AP15" i="7" s="1"/>
  <c r="CA13" i="7"/>
  <c r="BH13" i="7"/>
  <c r="AO13" i="7"/>
  <c r="V13" i="7"/>
  <c r="B8" i="7"/>
  <c r="B2" i="7"/>
  <c r="CF97" i="7" s="1"/>
  <c r="C5" i="28"/>
  <c r="C6" i="28" s="1"/>
  <c r="D4" i="28"/>
  <c r="C12" i="22"/>
  <c r="G4" i="22"/>
  <c r="N69" i="27" l="1"/>
  <c r="P75" i="27"/>
  <c r="M69" i="27"/>
  <c r="M12" i="27"/>
  <c r="P83" i="27"/>
  <c r="P37" i="27"/>
  <c r="M78" i="27"/>
  <c r="N78" i="27"/>
  <c r="P27" i="27"/>
  <c r="P61" i="27"/>
  <c r="N50" i="27"/>
  <c r="M39" i="27"/>
  <c r="P29" i="27"/>
  <c r="N58" i="27"/>
  <c r="N30" i="27"/>
  <c r="N39" i="27"/>
  <c r="M27" i="27"/>
  <c r="P66" i="27"/>
  <c r="M59" i="27"/>
  <c r="M52" i="27"/>
  <c r="P67" i="27"/>
  <c r="P45" i="27"/>
  <c r="P6" i="27"/>
  <c r="M29" i="27"/>
  <c r="M31" i="27"/>
  <c r="M44" i="27"/>
  <c r="P50" i="27"/>
  <c r="P13" i="27"/>
  <c r="M45" i="27"/>
  <c r="N70" i="27"/>
  <c r="P58" i="27"/>
  <c r="P21" i="27"/>
  <c r="M84" i="27"/>
  <c r="M47" i="27"/>
  <c r="M3" i="27"/>
  <c r="M36" i="27"/>
  <c r="N42" i="27"/>
  <c r="N47" i="27"/>
  <c r="N3" i="27"/>
  <c r="P42" i="27"/>
  <c r="M79" i="27"/>
  <c r="N79" i="27"/>
  <c r="N74" i="27"/>
  <c r="P18" i="27"/>
  <c r="M4" i="27"/>
  <c r="P14" i="27"/>
  <c r="P19" i="27"/>
  <c r="P34" i="27"/>
  <c r="P53" i="27"/>
  <c r="N62" i="27"/>
  <c r="N71" i="27"/>
  <c r="P5" i="27"/>
  <c r="P10" i="27"/>
  <c r="M15" i="27"/>
  <c r="M20" i="27"/>
  <c r="M35" i="27"/>
  <c r="M54" i="27"/>
  <c r="M63" i="27"/>
  <c r="M68" i="27"/>
  <c r="N77" i="27"/>
  <c r="N82" i="27"/>
  <c r="M77" i="27"/>
  <c r="N15" i="27"/>
  <c r="P35" i="27"/>
  <c r="N54" i="27"/>
  <c r="N63" i="27"/>
  <c r="P82" i="27"/>
  <c r="N10" i="27"/>
  <c r="N26" i="27"/>
  <c r="P59" i="27"/>
  <c r="N6" i="27"/>
  <c r="M11" i="27"/>
  <c r="M21" i="27"/>
  <c r="P26" i="27"/>
  <c r="M83" i="27"/>
  <c r="N31" i="27"/>
  <c r="M46" i="27"/>
  <c r="M51" i="27"/>
  <c r="M55" i="27"/>
  <c r="M60" i="27"/>
  <c r="P74" i="27"/>
  <c r="N46" i="27"/>
  <c r="P51" i="27"/>
  <c r="N55" i="27"/>
  <c r="M7" i="27"/>
  <c r="N22" i="27"/>
  <c r="M37" i="27"/>
  <c r="N7" i="27"/>
  <c r="N18" i="27"/>
  <c r="M61" i="27"/>
  <c r="N66" i="27"/>
  <c r="M70" i="27"/>
  <c r="M75" i="27"/>
  <c r="M23" i="27"/>
  <c r="M28" i="27"/>
  <c r="M43" i="27"/>
  <c r="N23" i="27"/>
  <c r="N38" i="27"/>
  <c r="P43" i="27"/>
  <c r="M85" i="27"/>
  <c r="N14" i="27"/>
  <c r="M19" i="27"/>
  <c r="N34" i="27"/>
  <c r="M53" i="27"/>
  <c r="M62" i="27"/>
  <c r="M67" i="27"/>
  <c r="M71" i="27"/>
  <c r="M76" i="27"/>
  <c r="P85" i="27"/>
  <c r="AT20" i="7"/>
  <c r="BM24" i="7"/>
  <c r="AA35" i="7"/>
  <c r="AT39" i="7"/>
  <c r="H44" i="7"/>
  <c r="AT52" i="7"/>
  <c r="BM56" i="7"/>
  <c r="AA67" i="7"/>
  <c r="AT71" i="7"/>
  <c r="H76" i="7"/>
  <c r="AT84" i="7"/>
  <c r="BM88" i="7"/>
  <c r="AT31" i="7"/>
  <c r="CF15" i="7"/>
  <c r="AA24" i="7"/>
  <c r="CF28" i="7"/>
  <c r="H33" i="7"/>
  <c r="BM43" i="7"/>
  <c r="CF47" i="7"/>
  <c r="AA56" i="7"/>
  <c r="CF60" i="7"/>
  <c r="H65" i="7"/>
  <c r="BM75" i="7"/>
  <c r="CF79" i="7"/>
  <c r="AA88" i="7"/>
  <c r="CF92" i="7"/>
  <c r="H97" i="7"/>
  <c r="BM16" i="7"/>
  <c r="AT15" i="7"/>
  <c r="H20" i="7"/>
  <c r="AT28" i="7"/>
  <c r="BM32" i="7"/>
  <c r="AA43" i="7"/>
  <c r="AT47" i="7"/>
  <c r="H52" i="7"/>
  <c r="AT60" i="7"/>
  <c r="BM64" i="7"/>
  <c r="AA75" i="7"/>
  <c r="AT79" i="7"/>
  <c r="H84" i="7"/>
  <c r="AT92" i="7"/>
  <c r="BM96" i="7"/>
  <c r="BM19" i="7"/>
  <c r="CF23" i="7"/>
  <c r="AA32" i="7"/>
  <c r="CF36" i="7"/>
  <c r="H41" i="7"/>
  <c r="BM51" i="7"/>
  <c r="CF55" i="7"/>
  <c r="AA64" i="7"/>
  <c r="CF68" i="7"/>
  <c r="H73" i="7"/>
  <c r="BM83" i="7"/>
  <c r="CF87" i="7"/>
  <c r="AA96" i="7"/>
  <c r="AA19" i="7"/>
  <c r="AT23" i="7"/>
  <c r="H28" i="7"/>
  <c r="AT36" i="7"/>
  <c r="BM40" i="7"/>
  <c r="AA51" i="7"/>
  <c r="AT55" i="7"/>
  <c r="H60" i="7"/>
  <c r="AT68" i="7"/>
  <c r="BM72" i="7"/>
  <c r="AA83" i="7"/>
  <c r="AT87" i="7"/>
  <c r="H92" i="7"/>
  <c r="AA27" i="7"/>
  <c r="H36" i="7"/>
  <c r="H17" i="7"/>
  <c r="BM27" i="7"/>
  <c r="CF31" i="7"/>
  <c r="AA40" i="7"/>
  <c r="CF44" i="7"/>
  <c r="H49" i="7"/>
  <c r="BM59" i="7"/>
  <c r="CF63" i="7"/>
  <c r="AA72" i="7"/>
  <c r="CF76" i="7"/>
  <c r="H81" i="7"/>
  <c r="BM91" i="7"/>
  <c r="CF95" i="7"/>
  <c r="AT44" i="7"/>
  <c r="BM48" i="7"/>
  <c r="AA59" i="7"/>
  <c r="AT63" i="7"/>
  <c r="H68" i="7"/>
  <c r="AT76" i="7"/>
  <c r="BM80" i="7"/>
  <c r="AA91" i="7"/>
  <c r="AT95" i="7"/>
  <c r="AA16" i="7"/>
  <c r="CF20" i="7"/>
  <c r="H25" i="7"/>
  <c r="BM35" i="7"/>
  <c r="CF39" i="7"/>
  <c r="AA48" i="7"/>
  <c r="CF52" i="7"/>
  <c r="H57" i="7"/>
  <c r="BM67" i="7"/>
  <c r="CF71" i="7"/>
  <c r="AA80" i="7"/>
  <c r="CF84" i="7"/>
  <c r="H89" i="7"/>
  <c r="H15" i="7"/>
  <c r="AT18" i="7"/>
  <c r="CF18" i="7"/>
  <c r="AA22" i="7"/>
  <c r="BM22" i="7"/>
  <c r="H23" i="7"/>
  <c r="AT26" i="7"/>
  <c r="CF26" i="7"/>
  <c r="AA30" i="7"/>
  <c r="BM30" i="7"/>
  <c r="H31" i="7"/>
  <c r="AT34" i="7"/>
  <c r="CF34" i="7"/>
  <c r="AA38" i="7"/>
  <c r="BM38" i="7"/>
  <c r="H39" i="7"/>
  <c r="AT42" i="7"/>
  <c r="CF42" i="7"/>
  <c r="AA46" i="7"/>
  <c r="BM46" i="7"/>
  <c r="H47" i="7"/>
  <c r="AT50" i="7"/>
  <c r="CF50" i="7"/>
  <c r="AA54" i="7"/>
  <c r="BM54" i="7"/>
  <c r="H55" i="7"/>
  <c r="AT58" i="7"/>
  <c r="CF58" i="7"/>
  <c r="AA62" i="7"/>
  <c r="BM62" i="7"/>
  <c r="H63" i="7"/>
  <c r="AT66" i="7"/>
  <c r="CF66" i="7"/>
  <c r="AA70" i="7"/>
  <c r="BM70" i="7"/>
  <c r="H71" i="7"/>
  <c r="AT74" i="7"/>
  <c r="CF74" i="7"/>
  <c r="AA78" i="7"/>
  <c r="BM78" i="7"/>
  <c r="H79" i="7"/>
  <c r="AT82" i="7"/>
  <c r="CF82" i="7"/>
  <c r="AA86" i="7"/>
  <c r="BM86" i="7"/>
  <c r="H87" i="7"/>
  <c r="AT90" i="7"/>
  <c r="CF90" i="7"/>
  <c r="AA94" i="7"/>
  <c r="BM94" i="7"/>
  <c r="H95" i="7"/>
  <c r="AT98" i="7"/>
  <c r="CF98" i="7"/>
  <c r="AA17" i="7"/>
  <c r="BM17" i="7"/>
  <c r="H18" i="7"/>
  <c r="AT21" i="7"/>
  <c r="CF21" i="7"/>
  <c r="AA25" i="7"/>
  <c r="BM25" i="7"/>
  <c r="H26" i="7"/>
  <c r="AT29" i="7"/>
  <c r="CF29" i="7"/>
  <c r="AA33" i="7"/>
  <c r="BM33" i="7"/>
  <c r="H34" i="7"/>
  <c r="AT37" i="7"/>
  <c r="CF37" i="7"/>
  <c r="AA41" i="7"/>
  <c r="BM41" i="7"/>
  <c r="H42" i="7"/>
  <c r="AT45" i="7"/>
  <c r="CF45" i="7"/>
  <c r="AA49" i="7"/>
  <c r="BM49" i="7"/>
  <c r="H50" i="7"/>
  <c r="AT53" i="7"/>
  <c r="CF53" i="7"/>
  <c r="AA57" i="7"/>
  <c r="BM57" i="7"/>
  <c r="H58" i="7"/>
  <c r="AT61" i="7"/>
  <c r="CF61" i="7"/>
  <c r="AA65" i="7"/>
  <c r="BM65" i="7"/>
  <c r="H66" i="7"/>
  <c r="AT69" i="7"/>
  <c r="CF69" i="7"/>
  <c r="AA73" i="7"/>
  <c r="BM73" i="7"/>
  <c r="H74" i="7"/>
  <c r="AT77" i="7"/>
  <c r="CF77" i="7"/>
  <c r="AA81" i="7"/>
  <c r="BM81" i="7"/>
  <c r="H82" i="7"/>
  <c r="AT85" i="7"/>
  <c r="CF85" i="7"/>
  <c r="AA89" i="7"/>
  <c r="BM89" i="7"/>
  <c r="H90" i="7"/>
  <c r="AT93" i="7"/>
  <c r="CF93" i="7"/>
  <c r="AA97" i="7"/>
  <c r="BM97" i="7"/>
  <c r="H98" i="7"/>
  <c r="AT16" i="7"/>
  <c r="CF16" i="7"/>
  <c r="AA20" i="7"/>
  <c r="BM20" i="7"/>
  <c r="H21" i="7"/>
  <c r="AT24" i="7"/>
  <c r="CF24" i="7"/>
  <c r="AA28" i="7"/>
  <c r="BM28" i="7"/>
  <c r="H29" i="7"/>
  <c r="AT32" i="7"/>
  <c r="CF32" i="7"/>
  <c r="AA36" i="7"/>
  <c r="BM36" i="7"/>
  <c r="H37" i="7"/>
  <c r="AT40" i="7"/>
  <c r="CF40" i="7"/>
  <c r="AA44" i="7"/>
  <c r="BM44" i="7"/>
  <c r="H45" i="7"/>
  <c r="AT48" i="7"/>
  <c r="CF48" i="7"/>
  <c r="AA52" i="7"/>
  <c r="BM52" i="7"/>
  <c r="H53" i="7"/>
  <c r="AT56" i="7"/>
  <c r="CF56" i="7"/>
  <c r="AA60" i="7"/>
  <c r="BM60" i="7"/>
  <c r="H61" i="7"/>
  <c r="AT64" i="7"/>
  <c r="CF64" i="7"/>
  <c r="AA68" i="7"/>
  <c r="BM68" i="7"/>
  <c r="H69" i="7"/>
  <c r="AT72" i="7"/>
  <c r="CF72" i="7"/>
  <c r="AA76" i="7"/>
  <c r="BM76" i="7"/>
  <c r="H77" i="7"/>
  <c r="AT80" i="7"/>
  <c r="CF80" i="7"/>
  <c r="AA84" i="7"/>
  <c r="BM84" i="7"/>
  <c r="H85" i="7"/>
  <c r="AT88" i="7"/>
  <c r="CF88" i="7"/>
  <c r="AA92" i="7"/>
  <c r="BM92" i="7"/>
  <c r="H93" i="7"/>
  <c r="AT96" i="7"/>
  <c r="CF96" i="7"/>
  <c r="AA15" i="7"/>
  <c r="BM15" i="7"/>
  <c r="H16" i="7"/>
  <c r="AT19" i="7"/>
  <c r="CF19" i="7"/>
  <c r="AA23" i="7"/>
  <c r="BM23" i="7"/>
  <c r="H24" i="7"/>
  <c r="AT27" i="7"/>
  <c r="CF27" i="7"/>
  <c r="AA31" i="7"/>
  <c r="BM31" i="7"/>
  <c r="H32" i="7"/>
  <c r="AT35" i="7"/>
  <c r="CF35" i="7"/>
  <c r="AA39" i="7"/>
  <c r="BM39" i="7"/>
  <c r="H40" i="7"/>
  <c r="AT43" i="7"/>
  <c r="CF43" i="7"/>
  <c r="AA47" i="7"/>
  <c r="BM47" i="7"/>
  <c r="H48" i="7"/>
  <c r="AT51" i="7"/>
  <c r="CF51" i="7"/>
  <c r="AA55" i="7"/>
  <c r="BM55" i="7"/>
  <c r="H56" i="7"/>
  <c r="AT59" i="7"/>
  <c r="CF59" i="7"/>
  <c r="AA63" i="7"/>
  <c r="BM63" i="7"/>
  <c r="H64" i="7"/>
  <c r="AT67" i="7"/>
  <c r="CF67" i="7"/>
  <c r="AA71" i="7"/>
  <c r="BM71" i="7"/>
  <c r="H72" i="7"/>
  <c r="AT75" i="7"/>
  <c r="CF75" i="7"/>
  <c r="AA79" i="7"/>
  <c r="BM79" i="7"/>
  <c r="H80" i="7"/>
  <c r="AT83" i="7"/>
  <c r="CF83" i="7"/>
  <c r="AA87" i="7"/>
  <c r="BM87" i="7"/>
  <c r="H88" i="7"/>
  <c r="AT91" i="7"/>
  <c r="CF91" i="7"/>
  <c r="AA95" i="7"/>
  <c r="BM95" i="7"/>
  <c r="H96" i="7"/>
  <c r="AA18" i="7"/>
  <c r="BM18" i="7"/>
  <c r="H19" i="7"/>
  <c r="AT22" i="7"/>
  <c r="CF22" i="7"/>
  <c r="AA26" i="7"/>
  <c r="BM26" i="7"/>
  <c r="H27" i="7"/>
  <c r="AT30" i="7"/>
  <c r="CF30" i="7"/>
  <c r="AA34" i="7"/>
  <c r="BM34" i="7"/>
  <c r="H35" i="7"/>
  <c r="AT38" i="7"/>
  <c r="CF38" i="7"/>
  <c r="AA42" i="7"/>
  <c r="BM42" i="7"/>
  <c r="H43" i="7"/>
  <c r="AT46" i="7"/>
  <c r="CF46" i="7"/>
  <c r="AA50" i="7"/>
  <c r="BM50" i="7"/>
  <c r="H51" i="7"/>
  <c r="AT54" i="7"/>
  <c r="CF54" i="7"/>
  <c r="AA58" i="7"/>
  <c r="BM58" i="7"/>
  <c r="H59" i="7"/>
  <c r="AT62" i="7"/>
  <c r="CF62" i="7"/>
  <c r="AA66" i="7"/>
  <c r="BM66" i="7"/>
  <c r="H67" i="7"/>
  <c r="AT70" i="7"/>
  <c r="CF70" i="7"/>
  <c r="AA74" i="7"/>
  <c r="BM74" i="7"/>
  <c r="H75" i="7"/>
  <c r="AT78" i="7"/>
  <c r="CF78" i="7"/>
  <c r="AA82" i="7"/>
  <c r="BM82" i="7"/>
  <c r="H83" i="7"/>
  <c r="AT86" i="7"/>
  <c r="CF86" i="7"/>
  <c r="AA90" i="7"/>
  <c r="BM90" i="7"/>
  <c r="H91" i="7"/>
  <c r="AT94" i="7"/>
  <c r="CF94" i="7"/>
  <c r="AA98" i="7"/>
  <c r="BM98" i="7"/>
  <c r="AT17" i="7"/>
  <c r="CF17" i="7"/>
  <c r="AA21" i="7"/>
  <c r="BM21" i="7"/>
  <c r="H22" i="7"/>
  <c r="AT25" i="7"/>
  <c r="CF25" i="7"/>
  <c r="AA29" i="7"/>
  <c r="BM29" i="7"/>
  <c r="H30" i="7"/>
  <c r="AT33" i="7"/>
  <c r="CF33" i="7"/>
  <c r="AA37" i="7"/>
  <c r="BM37" i="7"/>
  <c r="H38" i="7"/>
  <c r="AT41" i="7"/>
  <c r="CF41" i="7"/>
  <c r="AA45" i="7"/>
  <c r="BM45" i="7"/>
  <c r="H46" i="7"/>
  <c r="AT49" i="7"/>
  <c r="CF49" i="7"/>
  <c r="AA53" i="7"/>
  <c r="BM53" i="7"/>
  <c r="H54" i="7"/>
  <c r="AT57" i="7"/>
  <c r="CF57" i="7"/>
  <c r="AA61" i="7"/>
  <c r="BM61" i="7"/>
  <c r="H62" i="7"/>
  <c r="AT65" i="7"/>
  <c r="CF65" i="7"/>
  <c r="AA69" i="7"/>
  <c r="BM69" i="7"/>
  <c r="H70" i="7"/>
  <c r="AT73" i="7"/>
  <c r="CF73" i="7"/>
  <c r="AA77" i="7"/>
  <c r="BM77" i="7"/>
  <c r="H78" i="7"/>
  <c r="AT81" i="7"/>
  <c r="CF81" i="7"/>
  <c r="AA85" i="7"/>
  <c r="BM85" i="7"/>
  <c r="H86" i="7"/>
  <c r="AT89" i="7"/>
  <c r="CF89" i="7"/>
  <c r="AA93" i="7"/>
  <c r="BM93" i="7"/>
  <c r="H94" i="7"/>
  <c r="AT97" i="7"/>
  <c r="F2" i="27"/>
  <c r="N4" i="27"/>
  <c r="M9" i="27"/>
  <c r="N12" i="27"/>
  <c r="M17" i="27"/>
  <c r="N20" i="27"/>
  <c r="M25" i="27"/>
  <c r="N28" i="27"/>
  <c r="M33" i="27"/>
  <c r="N36" i="27"/>
  <c r="M41" i="27"/>
  <c r="N44" i="27"/>
  <c r="M49" i="27"/>
  <c r="N52" i="27"/>
  <c r="M57" i="27"/>
  <c r="N60" i="27"/>
  <c r="M65" i="27"/>
  <c r="N68" i="27"/>
  <c r="M73" i="27"/>
  <c r="N76" i="27"/>
  <c r="M81" i="27"/>
  <c r="N84" i="27"/>
  <c r="G2" i="27"/>
  <c r="N9" i="27"/>
  <c r="N17" i="27"/>
  <c r="M22" i="27"/>
  <c r="N25" i="27"/>
  <c r="M30" i="27"/>
  <c r="N33" i="27"/>
  <c r="M38" i="27"/>
  <c r="N41" i="27"/>
  <c r="N49" i="27"/>
  <c r="N57" i="27"/>
  <c r="N65" i="27"/>
  <c r="N73" i="27"/>
  <c r="N81" i="27"/>
  <c r="I2" i="27"/>
  <c r="M2" i="27"/>
  <c r="M8" i="27"/>
  <c r="N11" i="27"/>
  <c r="M16" i="27"/>
  <c r="M24" i="27"/>
  <c r="M32" i="27"/>
  <c r="M40" i="27"/>
  <c r="M48" i="27"/>
  <c r="M56" i="27"/>
  <c r="M64" i="27"/>
  <c r="M72" i="27"/>
  <c r="M80" i="27"/>
  <c r="N2" i="27"/>
  <c r="M5" i="27"/>
  <c r="N8" i="27"/>
  <c r="M13" i="27"/>
  <c r="N16" i="27"/>
  <c r="N24" i="27"/>
  <c r="N32" i="27"/>
  <c r="N40" i="27"/>
  <c r="N48" i="27"/>
  <c r="N56" i="27"/>
  <c r="N64" i="27"/>
  <c r="N72" i="27"/>
  <c r="N80" i="27"/>
  <c r="C7" i="28"/>
  <c r="A4" i="27"/>
  <c r="H4" i="27" s="1"/>
  <c r="D6" i="28"/>
  <c r="A3" i="27"/>
  <c r="I3" i="27" s="1"/>
  <c r="B5" i="28"/>
  <c r="B6" i="28" s="1"/>
  <c r="K2" i="27"/>
  <c r="D5" i="28"/>
  <c r="H2" i="27"/>
  <c r="P9" i="22"/>
  <c r="V9" i="22" s="1"/>
  <c r="Q11" i="22"/>
  <c r="AP16" i="7"/>
  <c r="AQ15" i="7"/>
  <c r="AR15" i="7" s="1"/>
  <c r="P10" i="22"/>
  <c r="E15" i="7"/>
  <c r="F15" i="7" s="1"/>
  <c r="D16" i="7"/>
  <c r="BI15" i="7"/>
  <c r="W15" i="7"/>
  <c r="CB15" i="7"/>
  <c r="G4" i="27" l="1"/>
  <c r="H3" i="27"/>
  <c r="K3" i="27"/>
  <c r="G3" i="27"/>
  <c r="F3" i="27"/>
  <c r="F4" i="27"/>
  <c r="K4" i="27"/>
  <c r="I4" i="27"/>
  <c r="A5" i="27"/>
  <c r="C8" i="28"/>
  <c r="D7" i="28"/>
  <c r="B7" i="28"/>
  <c r="W9" i="22"/>
  <c r="X9" i="22" s="1"/>
  <c r="AQ16" i="7"/>
  <c r="AR16" i="7" s="1"/>
  <c r="AS16" i="7" s="1"/>
  <c r="AO16" i="7"/>
  <c r="AP17" i="7"/>
  <c r="X15" i="7"/>
  <c r="W16" i="7"/>
  <c r="BJ15" i="7"/>
  <c r="BK15" i="7" s="1"/>
  <c r="BI16" i="7"/>
  <c r="Q12" i="22"/>
  <c r="P11" i="22"/>
  <c r="CB16" i="7"/>
  <c r="CC15" i="7"/>
  <c r="CD15" i="7" s="1"/>
  <c r="E16" i="7"/>
  <c r="C16" i="7"/>
  <c r="D17" i="7"/>
  <c r="G15" i="7"/>
  <c r="AS15" i="7"/>
  <c r="V10" i="22"/>
  <c r="A6" i="27" l="1"/>
  <c r="D8" i="28"/>
  <c r="B8" i="28"/>
  <c r="C9" i="28"/>
  <c r="I5" i="27"/>
  <c r="K5" i="27"/>
  <c r="F5" i="27"/>
  <c r="G5" i="27"/>
  <c r="H5" i="27"/>
  <c r="CE15" i="7"/>
  <c r="V11" i="22"/>
  <c r="X16" i="7"/>
  <c r="Y16" i="7" s="1"/>
  <c r="V16" i="7"/>
  <c r="W17" i="7"/>
  <c r="AO17" i="7"/>
  <c r="AP18" i="7"/>
  <c r="AQ17" i="7"/>
  <c r="AR17" i="7" s="1"/>
  <c r="CB17" i="7"/>
  <c r="CC16" i="7"/>
  <c r="CD16" i="7" s="1"/>
  <c r="CA16" i="7"/>
  <c r="BF16" i="7"/>
  <c r="AX16" i="7" s="1"/>
  <c r="T15" i="7"/>
  <c r="M15" i="7" s="1"/>
  <c r="D18" i="7"/>
  <c r="C17" i="7"/>
  <c r="E17" i="7"/>
  <c r="F17" i="7" s="1"/>
  <c r="Q13" i="22"/>
  <c r="P12" i="22"/>
  <c r="Y15" i="7"/>
  <c r="BI17" i="7"/>
  <c r="BJ16" i="7"/>
  <c r="BK16" i="7" s="1"/>
  <c r="BH16" i="7"/>
  <c r="W10" i="22"/>
  <c r="X10" i="22" s="1"/>
  <c r="BF15" i="7"/>
  <c r="AX15" i="7" s="1"/>
  <c r="F16" i="7"/>
  <c r="BL15" i="7"/>
  <c r="B9" i="28" l="1"/>
  <c r="A7" i="27"/>
  <c r="C10" i="28"/>
  <c r="D9" i="28"/>
  <c r="K6" i="27"/>
  <c r="F6" i="27"/>
  <c r="I6" i="27"/>
  <c r="G6" i="27"/>
  <c r="H6" i="27"/>
  <c r="L15" i="7"/>
  <c r="Q15" i="7" s="1"/>
  <c r="R15" i="7" s="1"/>
  <c r="AY15" i="7"/>
  <c r="BC15" i="7" s="1"/>
  <c r="AZ15" i="7"/>
  <c r="AZ16" i="7" s="1"/>
  <c r="CC17" i="7"/>
  <c r="CD17" i="7" s="1"/>
  <c r="CE17" i="7" s="1"/>
  <c r="CA17" i="7"/>
  <c r="CB18" i="7"/>
  <c r="CE16" i="7"/>
  <c r="BI18" i="7"/>
  <c r="BJ17" i="7"/>
  <c r="BK17" i="7" s="1"/>
  <c r="BL17" i="7" s="1"/>
  <c r="BH17" i="7"/>
  <c r="AS17" i="7"/>
  <c r="C18" i="7"/>
  <c r="D19" i="7"/>
  <c r="E18" i="7"/>
  <c r="Z16" i="7"/>
  <c r="Z15" i="7"/>
  <c r="W11" i="22"/>
  <c r="X11" i="22" s="1"/>
  <c r="G17" i="7"/>
  <c r="G16" i="7"/>
  <c r="V12" i="22"/>
  <c r="Q14" i="22"/>
  <c r="P13" i="22"/>
  <c r="AQ18" i="7"/>
  <c r="AR18" i="7" s="1"/>
  <c r="AS18" i="7" s="1"/>
  <c r="AO18" i="7"/>
  <c r="AP19" i="7"/>
  <c r="BL16" i="7"/>
  <c r="AY16" i="7"/>
  <c r="BC16" i="7" s="1"/>
  <c r="W18" i="7"/>
  <c r="X17" i="7"/>
  <c r="V17" i="7"/>
  <c r="CR15" i="7"/>
  <c r="CJ15" i="7" s="1"/>
  <c r="BY15" i="7"/>
  <c r="BQ15" i="7" s="1"/>
  <c r="A8" i="27" l="1"/>
  <c r="C11" i="28"/>
  <c r="D10" i="28"/>
  <c r="B10" i="28"/>
  <c r="K7" i="27"/>
  <c r="I7" i="27"/>
  <c r="G7" i="27"/>
  <c r="F7" i="27"/>
  <c r="H7" i="27"/>
  <c r="N15" i="7"/>
  <c r="BR15" i="7"/>
  <c r="BV15" i="7" s="1"/>
  <c r="CK15" i="7"/>
  <c r="CO15" i="7" s="1"/>
  <c r="CP15" i="7" s="1"/>
  <c r="CR17" i="7"/>
  <c r="CK17" i="7" s="1"/>
  <c r="BF18" i="7"/>
  <c r="AY18" i="7" s="1"/>
  <c r="BY16" i="7"/>
  <c r="BR16" i="7" s="1"/>
  <c r="T17" i="7"/>
  <c r="M17" i="7" s="1"/>
  <c r="F18" i="7"/>
  <c r="CL15" i="7"/>
  <c r="AQ19" i="7"/>
  <c r="AR19" i="7" s="1"/>
  <c r="AO19" i="7"/>
  <c r="AP20" i="7"/>
  <c r="Y17" i="7"/>
  <c r="V13" i="22"/>
  <c r="W12" i="22"/>
  <c r="X12" i="22" s="1"/>
  <c r="AM15" i="7"/>
  <c r="AE15" i="7" s="1"/>
  <c r="C19" i="7"/>
  <c r="D20" i="7"/>
  <c r="E19" i="7"/>
  <c r="F19" i="7" s="1"/>
  <c r="BY17" i="7"/>
  <c r="BQ17" i="7" s="1"/>
  <c r="CB19" i="7"/>
  <c r="CC18" i="7"/>
  <c r="CD18" i="7" s="1"/>
  <c r="CA18" i="7"/>
  <c r="BS15" i="7"/>
  <c r="W19" i="7"/>
  <c r="X18" i="7"/>
  <c r="V18" i="7"/>
  <c r="AM16" i="7"/>
  <c r="AE16" i="7" s="1"/>
  <c r="BD16" i="7"/>
  <c r="BD15" i="7"/>
  <c r="Q15" i="22"/>
  <c r="P14" i="22"/>
  <c r="BF17" i="7"/>
  <c r="AY17" i="7" s="1"/>
  <c r="BI19" i="7"/>
  <c r="BJ18" i="7"/>
  <c r="BK18" i="7" s="1"/>
  <c r="BH18" i="7"/>
  <c r="T16" i="7"/>
  <c r="L16" i="7" s="1"/>
  <c r="CR16" i="7"/>
  <c r="CJ16" i="7" s="1"/>
  <c r="D11" i="28" l="1"/>
  <c r="A9" i="27"/>
  <c r="B11" i="28"/>
  <c r="C12" i="28"/>
  <c r="F8" i="27"/>
  <c r="K8" i="27"/>
  <c r="I8" i="27"/>
  <c r="H8" i="27"/>
  <c r="G8" i="27"/>
  <c r="CJ17" i="7"/>
  <c r="CO17" i="7" s="1"/>
  <c r="CK16" i="7"/>
  <c r="CO16" i="7" s="1"/>
  <c r="AF16" i="7"/>
  <c r="AJ16" i="7" s="1"/>
  <c r="BR17" i="7"/>
  <c r="BV17" i="7" s="1"/>
  <c r="L17" i="7"/>
  <c r="Q17" i="7" s="1"/>
  <c r="AX18" i="7"/>
  <c r="BC18" i="7" s="1"/>
  <c r="M16" i="7"/>
  <c r="Q16" i="7" s="1"/>
  <c r="R16" i="7" s="1"/>
  <c r="AG15" i="7"/>
  <c r="AG16" i="7" s="1"/>
  <c r="Q16" i="22"/>
  <c r="P15" i="22"/>
  <c r="AF15" i="7"/>
  <c r="AJ15" i="7" s="1"/>
  <c r="N16" i="7"/>
  <c r="E20" i="7"/>
  <c r="F20" i="7" s="1"/>
  <c r="G20" i="7" s="1"/>
  <c r="D21" i="7"/>
  <c r="C20" i="7"/>
  <c r="W13" i="22"/>
  <c r="X13" i="22" s="1"/>
  <c r="CC19" i="7"/>
  <c r="CD19" i="7" s="1"/>
  <c r="CE19" i="7" s="1"/>
  <c r="CA19" i="7"/>
  <c r="CB20" i="7"/>
  <c r="CE18" i="7"/>
  <c r="AX17" i="7"/>
  <c r="Y18" i="7"/>
  <c r="Z17" i="7"/>
  <c r="CL16" i="7"/>
  <c r="BQ16" i="7"/>
  <c r="BL18" i="7"/>
  <c r="W20" i="7"/>
  <c r="X19" i="7"/>
  <c r="V19" i="7"/>
  <c r="BW15" i="7"/>
  <c r="AS19" i="7"/>
  <c r="BI20" i="7"/>
  <c r="BH19" i="7"/>
  <c r="BJ19" i="7"/>
  <c r="BK19" i="7" s="1"/>
  <c r="V14" i="22"/>
  <c r="AP21" i="7"/>
  <c r="AQ20" i="7"/>
  <c r="AR20" i="7" s="1"/>
  <c r="AO20" i="7"/>
  <c r="G18" i="7"/>
  <c r="G19" i="7"/>
  <c r="CL17" i="7" l="1"/>
  <c r="A10" i="27"/>
  <c r="C13" i="28"/>
  <c r="D12" i="28"/>
  <c r="B12" i="28"/>
  <c r="I9" i="27"/>
  <c r="K9" i="27"/>
  <c r="F9" i="27"/>
  <c r="H9" i="27"/>
  <c r="G9" i="27"/>
  <c r="N17" i="7"/>
  <c r="CP16" i="7"/>
  <c r="CP17" i="7"/>
  <c r="BJ20" i="7"/>
  <c r="BK20" i="7" s="1"/>
  <c r="BL20" i="7" s="1"/>
  <c r="BI21" i="7"/>
  <c r="BH20" i="7"/>
  <c r="CR19" i="7"/>
  <c r="CJ19" i="7" s="1"/>
  <c r="T19" i="7"/>
  <c r="M19" i="7" s="1"/>
  <c r="CR18" i="7"/>
  <c r="CK18" i="7" s="1"/>
  <c r="AM17" i="7"/>
  <c r="AF17" i="7" s="1"/>
  <c r="E21" i="7"/>
  <c r="D22" i="7"/>
  <c r="C21" i="7"/>
  <c r="T20" i="7"/>
  <c r="M20" i="7" s="1"/>
  <c r="BY18" i="7"/>
  <c r="BQ18" i="7" s="1"/>
  <c r="AZ17" i="7"/>
  <c r="AZ18" i="7" s="1"/>
  <c r="CB21" i="7"/>
  <c r="CA20" i="7"/>
  <c r="CC20" i="7"/>
  <c r="CD20" i="7" s="1"/>
  <c r="BL19" i="7"/>
  <c r="V15" i="22"/>
  <c r="R17" i="7"/>
  <c r="AQ21" i="7"/>
  <c r="AR21" i="7" s="1"/>
  <c r="AP22" i="7"/>
  <c r="AO21" i="7"/>
  <c r="BF19" i="7"/>
  <c r="AY19" i="7" s="1"/>
  <c r="Y19" i="7"/>
  <c r="Z19" i="7" s="1"/>
  <c r="BS16" i="7"/>
  <c r="BS17" i="7" s="1"/>
  <c r="AK16" i="7"/>
  <c r="AK15" i="7"/>
  <c r="Q17" i="22"/>
  <c r="P16" i="22"/>
  <c r="W14" i="22"/>
  <c r="X14" i="22" s="1"/>
  <c r="V20" i="7"/>
  <c r="W21" i="7"/>
  <c r="X20" i="7"/>
  <c r="BV16" i="7"/>
  <c r="Z18" i="7"/>
  <c r="AS20" i="7"/>
  <c r="BC17" i="7"/>
  <c r="T18" i="7"/>
  <c r="L18" i="7" s="1"/>
  <c r="C14" i="28" l="1"/>
  <c r="D13" i="28"/>
  <c r="B13" i="28"/>
  <c r="A11" i="27"/>
  <c r="K10" i="27"/>
  <c r="F10" i="27"/>
  <c r="H10" i="27"/>
  <c r="I10" i="27"/>
  <c r="G10" i="27"/>
  <c r="BR18" i="7"/>
  <c r="BV18" i="7" s="1"/>
  <c r="BW18" i="7" s="1"/>
  <c r="M18" i="7"/>
  <c r="Q18" i="7" s="1"/>
  <c r="L20" i="7"/>
  <c r="Q20" i="7" s="1"/>
  <c r="CJ18" i="7"/>
  <c r="CL18" i="7" s="1"/>
  <c r="CL19" i="7" s="1"/>
  <c r="N18" i="7"/>
  <c r="AP23" i="7"/>
  <c r="AQ22" i="7"/>
  <c r="AR22" i="7" s="1"/>
  <c r="AS22" i="7" s="1"/>
  <c r="AO22" i="7"/>
  <c r="AE17" i="7"/>
  <c r="AJ17" i="7" s="1"/>
  <c r="CK19" i="7"/>
  <c r="CO19" i="7" s="1"/>
  <c r="AM18" i="7"/>
  <c r="AF18" i="7" s="1"/>
  <c r="AS21" i="7"/>
  <c r="CA21" i="7"/>
  <c r="CB22" i="7"/>
  <c r="CC21" i="7"/>
  <c r="CD21" i="7" s="1"/>
  <c r="CE21" i="7" s="1"/>
  <c r="BD18" i="7"/>
  <c r="BD17" i="7"/>
  <c r="BF20" i="7"/>
  <c r="AY20" i="7" s="1"/>
  <c r="BW16" i="7"/>
  <c r="BW17" i="7"/>
  <c r="V16" i="22"/>
  <c r="BS18" i="7"/>
  <c r="Y20" i="7"/>
  <c r="Q18" i="22"/>
  <c r="P17" i="22"/>
  <c r="AX19" i="7"/>
  <c r="AZ19" i="7" s="1"/>
  <c r="AM19" i="7"/>
  <c r="AE19" i="7" s="1"/>
  <c r="V21" i="7"/>
  <c r="X21" i="7"/>
  <c r="W22" i="7"/>
  <c r="D23" i="7"/>
  <c r="E22" i="7"/>
  <c r="F22" i="7" s="1"/>
  <c r="C22" i="7"/>
  <c r="BJ21" i="7"/>
  <c r="BK21" i="7" s="1"/>
  <c r="BH21" i="7"/>
  <c r="BI22" i="7"/>
  <c r="W15" i="22"/>
  <c r="X15" i="22" s="1"/>
  <c r="BY19" i="7"/>
  <c r="BQ19" i="7" s="1"/>
  <c r="F21" i="7"/>
  <c r="L19" i="7"/>
  <c r="Q19" i="7" s="1"/>
  <c r="CE20" i="7"/>
  <c r="BY20" i="7"/>
  <c r="BR20" i="7" s="1"/>
  <c r="K11" i="27" l="1"/>
  <c r="I11" i="27"/>
  <c r="F11" i="27"/>
  <c r="H11" i="27"/>
  <c r="G11" i="27"/>
  <c r="A12" i="27"/>
  <c r="B14" i="28"/>
  <c r="C15" i="28"/>
  <c r="D14" i="28"/>
  <c r="AF19" i="7"/>
  <c r="AJ19" i="7" s="1"/>
  <c r="BQ20" i="7"/>
  <c r="BV20" i="7" s="1"/>
  <c r="BR19" i="7"/>
  <c r="BV19" i="7" s="1"/>
  <c r="AE18" i="7"/>
  <c r="AJ18" i="7" s="1"/>
  <c r="CO18" i="7"/>
  <c r="CP18" i="7" s="1"/>
  <c r="AK17" i="7"/>
  <c r="BF22" i="7"/>
  <c r="AY22" i="7" s="1"/>
  <c r="CR21" i="7"/>
  <c r="CJ21" i="7" s="1"/>
  <c r="D24" i="7"/>
  <c r="E23" i="7"/>
  <c r="F23" i="7" s="1"/>
  <c r="G23" i="7" s="1"/>
  <c r="C23" i="7"/>
  <c r="R19" i="7"/>
  <c r="R20" i="7"/>
  <c r="R18" i="7"/>
  <c r="X22" i="7"/>
  <c r="Y22" i="7" s="1"/>
  <c r="W23" i="7"/>
  <c r="V22" i="7"/>
  <c r="AX20" i="7"/>
  <c r="AZ20" i="7" s="1"/>
  <c r="AP24" i="7"/>
  <c r="AQ23" i="7"/>
  <c r="AR23" i="7" s="1"/>
  <c r="AS23" i="7" s="1"/>
  <c r="AO23" i="7"/>
  <c r="CA22" i="7"/>
  <c r="CC22" i="7"/>
  <c r="CD22" i="7" s="1"/>
  <c r="CB23" i="7"/>
  <c r="BF21" i="7"/>
  <c r="AX21" i="7" s="1"/>
  <c r="BJ22" i="7"/>
  <c r="BK22" i="7" s="1"/>
  <c r="BL22" i="7" s="1"/>
  <c r="BI23" i="7"/>
  <c r="BH22" i="7"/>
  <c r="Y21" i="7"/>
  <c r="BS19" i="7"/>
  <c r="Z20" i="7"/>
  <c r="W16" i="22"/>
  <c r="X16" i="22" s="1"/>
  <c r="BL21" i="7"/>
  <c r="N19" i="7"/>
  <c r="N20" i="7" s="1"/>
  <c r="G21" i="7"/>
  <c r="G22" i="7"/>
  <c r="CR20" i="7"/>
  <c r="CJ20" i="7" s="1"/>
  <c r="V17" i="22"/>
  <c r="AG17" i="7"/>
  <c r="P18" i="22"/>
  <c r="Q19" i="22"/>
  <c r="BC19" i="7"/>
  <c r="F12" i="27" l="1"/>
  <c r="K12" i="27"/>
  <c r="I12" i="27"/>
  <c r="H12" i="27"/>
  <c r="G12" i="27"/>
  <c r="A13" i="27"/>
  <c r="C16" i="28"/>
  <c r="D15" i="28"/>
  <c r="B15" i="28"/>
  <c r="AG18" i="7"/>
  <c r="AG19" i="7" s="1"/>
  <c r="BS20" i="7"/>
  <c r="AY21" i="7"/>
  <c r="BC21" i="7" s="1"/>
  <c r="CK20" i="7"/>
  <c r="CO20" i="7" s="1"/>
  <c r="AK18" i="7"/>
  <c r="AK19" i="7"/>
  <c r="AZ21" i="7"/>
  <c r="AX22" i="7"/>
  <c r="BC22" i="7" s="1"/>
  <c r="CP19" i="7"/>
  <c r="CL20" i="7"/>
  <c r="CL21" i="7" s="1"/>
  <c r="CB24" i="7"/>
  <c r="CA23" i="7"/>
  <c r="CC23" i="7"/>
  <c r="CD23" i="7" s="1"/>
  <c r="CE23" i="7" s="1"/>
  <c r="D25" i="7"/>
  <c r="E24" i="7"/>
  <c r="F24" i="7" s="1"/>
  <c r="C24" i="7"/>
  <c r="T21" i="7"/>
  <c r="L21" i="7" s="1"/>
  <c r="Z22" i="7"/>
  <c r="X23" i="7"/>
  <c r="Y23" i="7" s="1"/>
  <c r="Z23" i="7" s="1"/>
  <c r="V23" i="7"/>
  <c r="W24" i="7"/>
  <c r="BD19" i="7"/>
  <c r="CE22" i="7"/>
  <c r="CK21" i="7"/>
  <c r="CO21" i="7" s="1"/>
  <c r="Q20" i="22"/>
  <c r="P19" i="22"/>
  <c r="BY22" i="7"/>
  <c r="BR22" i="7" s="1"/>
  <c r="Z21" i="7"/>
  <c r="BI24" i="7"/>
  <c r="BJ23" i="7"/>
  <c r="BK23" i="7" s="1"/>
  <c r="BL23" i="7" s="1"/>
  <c r="BH23" i="7"/>
  <c r="W17" i="22"/>
  <c r="X17" i="22" s="1"/>
  <c r="BY21" i="7"/>
  <c r="BR21" i="7" s="1"/>
  <c r="T22" i="7"/>
  <c r="L22" i="7" s="1"/>
  <c r="AM20" i="7"/>
  <c r="AF20" i="7" s="1"/>
  <c r="BC20" i="7"/>
  <c r="V18" i="22"/>
  <c r="T23" i="7"/>
  <c r="L23" i="7" s="1"/>
  <c r="BF23" i="7"/>
  <c r="AY23" i="7" s="1"/>
  <c r="BW19" i="7"/>
  <c r="BW20" i="7"/>
  <c r="AO24" i="7"/>
  <c r="AQ24" i="7"/>
  <c r="AR24" i="7" s="1"/>
  <c r="AS24" i="7" s="1"/>
  <c r="AP25" i="7"/>
  <c r="A14" i="27" l="1"/>
  <c r="D16" i="28"/>
  <c r="B16" i="28"/>
  <c r="C17" i="28"/>
  <c r="I13" i="27"/>
  <c r="K13" i="27"/>
  <c r="F13" i="27"/>
  <c r="H13" i="27"/>
  <c r="G13" i="27"/>
  <c r="AX23" i="7"/>
  <c r="BC23" i="7" s="1"/>
  <c r="BD23" i="7" s="1"/>
  <c r="AE20" i="7"/>
  <c r="AG20" i="7" s="1"/>
  <c r="BD22" i="7"/>
  <c r="M21" i="7"/>
  <c r="Q21" i="7" s="1"/>
  <c r="M23" i="7"/>
  <c r="Q23" i="7" s="1"/>
  <c r="AZ22" i="7"/>
  <c r="M22" i="7"/>
  <c r="Q22" i="7" s="1"/>
  <c r="BF24" i="7"/>
  <c r="AY24" i="7" s="1"/>
  <c r="N21" i="7"/>
  <c r="N22" i="7" s="1"/>
  <c r="N23" i="7" s="1"/>
  <c r="AM23" i="7"/>
  <c r="AE23" i="7" s="1"/>
  <c r="BD21" i="7"/>
  <c r="CR23" i="7"/>
  <c r="CK23" i="7" s="1"/>
  <c r="AM21" i="7"/>
  <c r="AF21" i="7" s="1"/>
  <c r="CC24" i="7"/>
  <c r="CD24" i="7" s="1"/>
  <c r="CE24" i="7" s="1"/>
  <c r="CA24" i="7"/>
  <c r="CB25" i="7"/>
  <c r="V19" i="22"/>
  <c r="CP20" i="7"/>
  <c r="CP21" i="7"/>
  <c r="BQ22" i="7"/>
  <c r="BV22" i="7" s="1"/>
  <c r="P20" i="22"/>
  <c r="Q21" i="22"/>
  <c r="CR22" i="7"/>
  <c r="CK22" i="7" s="1"/>
  <c r="BD20" i="7"/>
  <c r="BI25" i="7"/>
  <c r="BJ24" i="7"/>
  <c r="BK24" i="7" s="1"/>
  <c r="BL24" i="7" s="1"/>
  <c r="BH24" i="7"/>
  <c r="W25" i="7"/>
  <c r="V24" i="7"/>
  <c r="X24" i="7"/>
  <c r="Y24" i="7" s="1"/>
  <c r="G24" i="7"/>
  <c r="BY23" i="7"/>
  <c r="BR23" i="7" s="1"/>
  <c r="W18" i="22"/>
  <c r="X18" i="22" s="1"/>
  <c r="BQ21" i="7"/>
  <c r="D26" i="7"/>
  <c r="E25" i="7"/>
  <c r="F25" i="7" s="1"/>
  <c r="G25" i="7" s="1"/>
  <c r="C25" i="7"/>
  <c r="AP26" i="7"/>
  <c r="AQ25" i="7"/>
  <c r="AR25" i="7" s="1"/>
  <c r="AS25" i="7" s="1"/>
  <c r="AO25" i="7"/>
  <c r="AM22" i="7"/>
  <c r="AE22" i="7" s="1"/>
  <c r="B17" i="28" l="1"/>
  <c r="C18" i="28"/>
  <c r="D17" i="28"/>
  <c r="A15" i="27"/>
  <c r="F14" i="27"/>
  <c r="K14" i="27"/>
  <c r="I14" i="27"/>
  <c r="G14" i="27"/>
  <c r="H14" i="27"/>
  <c r="AZ23" i="7"/>
  <c r="AJ20" i="7"/>
  <c r="AK20" i="7" s="1"/>
  <c r="AF22" i="7"/>
  <c r="AJ22" i="7" s="1"/>
  <c r="BQ23" i="7"/>
  <c r="BV23" i="7" s="1"/>
  <c r="AF23" i="7"/>
  <c r="AJ23" i="7" s="1"/>
  <c r="T25" i="7"/>
  <c r="L25" i="7" s="1"/>
  <c r="Z24" i="7"/>
  <c r="CJ23" i="7"/>
  <c r="CO23" i="7" s="1"/>
  <c r="AX24" i="7"/>
  <c r="BC24" i="7" s="1"/>
  <c r="T24" i="7"/>
  <c r="L24" i="7" s="1"/>
  <c r="V20" i="22"/>
  <c r="C26" i="7"/>
  <c r="D27" i="7"/>
  <c r="E26" i="7"/>
  <c r="F26" i="7" s="1"/>
  <c r="G26" i="7" s="1"/>
  <c r="X25" i="7"/>
  <c r="Y25" i="7" s="1"/>
  <c r="Z25" i="7" s="1"/>
  <c r="V25" i="7"/>
  <c r="W26" i="7"/>
  <c r="CB26" i="7"/>
  <c r="CC25" i="7"/>
  <c r="CD25" i="7" s="1"/>
  <c r="CE25" i="7" s="1"/>
  <c r="CA25" i="7"/>
  <c r="CJ22" i="7"/>
  <c r="AE21" i="7"/>
  <c r="BF25" i="7"/>
  <c r="AY25" i="7" s="1"/>
  <c r="BS21" i="7"/>
  <c r="BS22" i="7" s="1"/>
  <c r="CR24" i="7"/>
  <c r="CJ24" i="7" s="1"/>
  <c r="AO26" i="7"/>
  <c r="AP27" i="7"/>
  <c r="AQ26" i="7"/>
  <c r="AR26" i="7" s="1"/>
  <c r="AS26" i="7" s="1"/>
  <c r="BY24" i="7"/>
  <c r="BQ24" i="7" s="1"/>
  <c r="R22" i="7"/>
  <c r="R21" i="7"/>
  <c r="R23" i="7"/>
  <c r="BJ25" i="7"/>
  <c r="BK25" i="7" s="1"/>
  <c r="BL25" i="7" s="1"/>
  <c r="BH25" i="7"/>
  <c r="BI26" i="7"/>
  <c r="Q22" i="22"/>
  <c r="P21" i="22"/>
  <c r="W19" i="22"/>
  <c r="X19" i="22" s="1"/>
  <c r="BV21" i="7"/>
  <c r="K15" i="27" l="1"/>
  <c r="H15" i="27"/>
  <c r="F15" i="27"/>
  <c r="I15" i="27"/>
  <c r="G15" i="27"/>
  <c r="A16" i="27"/>
  <c r="C19" i="28"/>
  <c r="D18" i="28"/>
  <c r="B18" i="28"/>
  <c r="BS23" i="7"/>
  <c r="BS24" i="7" s="1"/>
  <c r="CK24" i="7"/>
  <c r="CO24" i="7" s="1"/>
  <c r="AX25" i="7"/>
  <c r="BC25" i="7" s="1"/>
  <c r="BD25" i="7" s="1"/>
  <c r="M24" i="7"/>
  <c r="Q24" i="7" s="1"/>
  <c r="N24" i="7"/>
  <c r="N25" i="7" s="1"/>
  <c r="BD24" i="7"/>
  <c r="AQ27" i="7"/>
  <c r="AR27" i="7" s="1"/>
  <c r="AS27" i="7" s="1"/>
  <c r="AO27" i="7"/>
  <c r="AP28" i="7"/>
  <c r="CL22" i="7"/>
  <c r="CL23" i="7" s="1"/>
  <c r="CL24" i="7" s="1"/>
  <c r="AM25" i="7"/>
  <c r="AF25" i="7" s="1"/>
  <c r="AG21" i="7"/>
  <c r="AG22" i="7" s="1"/>
  <c r="AG23" i="7" s="1"/>
  <c r="P22" i="22"/>
  <c r="Q23" i="22"/>
  <c r="T26" i="7"/>
  <c r="L26" i="7" s="1"/>
  <c r="AZ24" i="7"/>
  <c r="BF26" i="7"/>
  <c r="AY26" i="7" s="1"/>
  <c r="BH26" i="7"/>
  <c r="BI27" i="7"/>
  <c r="BJ26" i="7"/>
  <c r="BK26" i="7" s="1"/>
  <c r="BL26" i="7" s="1"/>
  <c r="C27" i="7"/>
  <c r="E27" i="7"/>
  <c r="F27" i="7" s="1"/>
  <c r="G27" i="7" s="1"/>
  <c r="D28" i="7"/>
  <c r="M25" i="7"/>
  <c r="Q25" i="7" s="1"/>
  <c r="BW21" i="7"/>
  <c r="BW23" i="7"/>
  <c r="BW22" i="7"/>
  <c r="BY25" i="7"/>
  <c r="BQ25" i="7" s="1"/>
  <c r="BR24" i="7"/>
  <c r="BV24" i="7" s="1"/>
  <c r="CR25" i="7"/>
  <c r="CK25" i="7" s="1"/>
  <c r="W20" i="22"/>
  <c r="X20" i="22" s="1"/>
  <c r="CA26" i="7"/>
  <c r="CB27" i="7"/>
  <c r="CC26" i="7"/>
  <c r="CD26" i="7" s="1"/>
  <c r="CE26" i="7" s="1"/>
  <c r="CO22" i="7"/>
  <c r="V21" i="22"/>
  <c r="W27" i="7"/>
  <c r="V26" i="7"/>
  <c r="X26" i="7"/>
  <c r="Y26" i="7" s="1"/>
  <c r="Z26" i="7" s="1"/>
  <c r="AM24" i="7"/>
  <c r="AF24" i="7" s="1"/>
  <c r="AJ21" i="7"/>
  <c r="K16" i="27" l="1"/>
  <c r="F16" i="27"/>
  <c r="G16" i="27"/>
  <c r="I16" i="27"/>
  <c r="H16" i="27"/>
  <c r="D19" i="28"/>
  <c r="A17" i="27"/>
  <c r="B19" i="28"/>
  <c r="C20" i="28"/>
  <c r="AZ25" i="7"/>
  <c r="AE24" i="7"/>
  <c r="AJ24" i="7" s="1"/>
  <c r="CJ25" i="7"/>
  <c r="CO25" i="7" s="1"/>
  <c r="CP25" i="7" s="1"/>
  <c r="R25" i="7"/>
  <c r="AE25" i="7"/>
  <c r="AJ25" i="7" s="1"/>
  <c r="AX26" i="7"/>
  <c r="BC26" i="7" s="1"/>
  <c r="BD26" i="7" s="1"/>
  <c r="BR25" i="7"/>
  <c r="BV25" i="7" s="1"/>
  <c r="H3" i="7"/>
  <c r="O26" i="7"/>
  <c r="V22" i="22"/>
  <c r="AK22" i="7"/>
  <c r="AK23" i="7"/>
  <c r="AK21" i="7"/>
  <c r="BF27" i="7"/>
  <c r="AY27" i="7" s="1"/>
  <c r="W21" i="22"/>
  <c r="X21" i="22" s="1"/>
  <c r="CP24" i="7"/>
  <c r="CP22" i="7"/>
  <c r="E28" i="7"/>
  <c r="F28" i="7" s="1"/>
  <c r="G28" i="7" s="1"/>
  <c r="D29" i="7"/>
  <c r="C28" i="7"/>
  <c r="R24" i="7"/>
  <c r="T27" i="7"/>
  <c r="M27" i="7" s="1"/>
  <c r="CP23" i="7"/>
  <c r="Q24" i="22"/>
  <c r="P23" i="22"/>
  <c r="CR26" i="7"/>
  <c r="CJ26" i="7" s="1"/>
  <c r="AM26" i="7"/>
  <c r="AF26" i="7" s="1"/>
  <c r="CB28" i="7"/>
  <c r="CC27" i="7"/>
  <c r="CD27" i="7" s="1"/>
  <c r="CE27" i="7" s="1"/>
  <c r="CA27" i="7"/>
  <c r="M26" i="7"/>
  <c r="Q26" i="7" s="1"/>
  <c r="R26" i="7" s="1"/>
  <c r="AP29" i="7"/>
  <c r="AQ28" i="7"/>
  <c r="AR28" i="7" s="1"/>
  <c r="AS28" i="7" s="1"/>
  <c r="AO28" i="7"/>
  <c r="BY26" i="7"/>
  <c r="BR26" i="7" s="1"/>
  <c r="N26" i="7"/>
  <c r="BW24" i="7"/>
  <c r="W28" i="7"/>
  <c r="X27" i="7"/>
  <c r="Y27" i="7" s="1"/>
  <c r="Z27" i="7" s="1"/>
  <c r="V27" i="7"/>
  <c r="BS25" i="7"/>
  <c r="BI28" i="7"/>
  <c r="BJ27" i="7"/>
  <c r="BK27" i="7" s="1"/>
  <c r="BL27" i="7" s="1"/>
  <c r="BH27" i="7"/>
  <c r="K17" i="27" l="1"/>
  <c r="I17" i="27"/>
  <c r="G17" i="27"/>
  <c r="F17" i="27"/>
  <c r="H17" i="27"/>
  <c r="A18" i="27"/>
  <c r="D20" i="28"/>
  <c r="C21" i="28"/>
  <c r="B20" i="28"/>
  <c r="AG24" i="7"/>
  <c r="AG25" i="7" s="1"/>
  <c r="BQ26" i="7"/>
  <c r="BV26" i="7" s="1"/>
  <c r="BW26" i="7" s="1"/>
  <c r="AK25" i="7"/>
  <c r="CL25" i="7"/>
  <c r="CL26" i="7" s="1"/>
  <c r="AZ26" i="7"/>
  <c r="L27" i="7"/>
  <c r="Q27" i="7" s="1"/>
  <c r="R27" i="7" s="1"/>
  <c r="AK24" i="7"/>
  <c r="BA26" i="7"/>
  <c r="AT3" i="7"/>
  <c r="M16" i="26" s="1"/>
  <c r="CF3" i="7"/>
  <c r="M18" i="26" s="1"/>
  <c r="CM26" i="7"/>
  <c r="AP30" i="7"/>
  <c r="AQ29" i="7"/>
  <c r="AR29" i="7" s="1"/>
  <c r="AS29" i="7" s="1"/>
  <c r="AO29" i="7"/>
  <c r="CB29" i="7"/>
  <c r="CC28" i="7"/>
  <c r="CD28" i="7" s="1"/>
  <c r="CE28" i="7" s="1"/>
  <c r="CA28" i="7"/>
  <c r="P24" i="22"/>
  <c r="Q25" i="22"/>
  <c r="E29" i="7"/>
  <c r="F29" i="7" s="1"/>
  <c r="G29" i="7" s="1"/>
  <c r="C29" i="7"/>
  <c r="D30" i="7"/>
  <c r="AX27" i="7"/>
  <c r="T28" i="7"/>
  <c r="M28" i="7" s="1"/>
  <c r="AE26" i="7"/>
  <c r="BF28" i="7"/>
  <c r="AX28" i="7" s="1"/>
  <c r="BH28" i="7"/>
  <c r="BI29" i="7"/>
  <c r="BJ28" i="7"/>
  <c r="BK28" i="7" s="1"/>
  <c r="BL28" i="7" s="1"/>
  <c r="CK26" i="7"/>
  <c r="CO26" i="7" s="1"/>
  <c r="CP26" i="7" s="1"/>
  <c r="W22" i="22"/>
  <c r="X22" i="22" s="1"/>
  <c r="V23" i="22"/>
  <c r="AM27" i="7"/>
  <c r="AE27" i="7" s="1"/>
  <c r="BW25" i="7"/>
  <c r="CR27" i="7"/>
  <c r="CJ27" i="7" s="1"/>
  <c r="BY27" i="7"/>
  <c r="BQ27" i="7" s="1"/>
  <c r="W29" i="7"/>
  <c r="X28" i="7"/>
  <c r="Y28" i="7" s="1"/>
  <c r="Z28" i="7" s="1"/>
  <c r="V28" i="7"/>
  <c r="K18" i="27" l="1"/>
  <c r="F18" i="27"/>
  <c r="I18" i="27"/>
  <c r="H18" i="27"/>
  <c r="G18" i="27"/>
  <c r="C22" i="28"/>
  <c r="D21" i="28"/>
  <c r="B21" i="28"/>
  <c r="A19" i="27"/>
  <c r="AG26" i="7"/>
  <c r="AG27" i="7" s="1"/>
  <c r="BT26" i="7"/>
  <c r="BM3" i="7"/>
  <c r="M17" i="26" s="1"/>
  <c r="AY28" i="7"/>
  <c r="BC28" i="7" s="1"/>
  <c r="BS26" i="7"/>
  <c r="BS27" i="7" s="1"/>
  <c r="BR27" i="7"/>
  <c r="BV27" i="7" s="1"/>
  <c r="BW27" i="7" s="1"/>
  <c r="AZ27" i="7"/>
  <c r="AZ28" i="7" s="1"/>
  <c r="N27" i="7"/>
  <c r="BY28" i="7"/>
  <c r="BQ28" i="7" s="1"/>
  <c r="L28" i="7"/>
  <c r="V24" i="22"/>
  <c r="AP31" i="7"/>
  <c r="AQ30" i="7"/>
  <c r="AR30" i="7" s="1"/>
  <c r="AS30" i="7" s="1"/>
  <c r="AO30" i="7"/>
  <c r="D31" i="7"/>
  <c r="E30" i="7"/>
  <c r="F30" i="7" s="1"/>
  <c r="G30" i="7" s="1"/>
  <c r="C30" i="7"/>
  <c r="AM28" i="7"/>
  <c r="AF28" i="7" s="1"/>
  <c r="BJ29" i="7"/>
  <c r="BK29" i="7" s="1"/>
  <c r="BL29" i="7" s="1"/>
  <c r="BI30" i="7"/>
  <c r="BH29" i="7"/>
  <c r="P25" i="22"/>
  <c r="Q26" i="22"/>
  <c r="CK27" i="7"/>
  <c r="CO27" i="7" s="1"/>
  <c r="CP27" i="7" s="1"/>
  <c r="V29" i="7"/>
  <c r="X29" i="7"/>
  <c r="Y29" i="7" s="1"/>
  <c r="Z29" i="7" s="1"/>
  <c r="W30" i="7"/>
  <c r="CL27" i="7"/>
  <c r="BF29" i="7"/>
  <c r="AY29" i="7" s="1"/>
  <c r="AF27" i="7"/>
  <c r="AJ27" i="7" s="1"/>
  <c r="CR28" i="7"/>
  <c r="CK28" i="7" s="1"/>
  <c r="CB30" i="7"/>
  <c r="CC29" i="7"/>
  <c r="CD29" i="7" s="1"/>
  <c r="CE29" i="7" s="1"/>
  <c r="CA29" i="7"/>
  <c r="BC27" i="7"/>
  <c r="BD27" i="7" s="1"/>
  <c r="W23" i="22"/>
  <c r="X23" i="22" s="1"/>
  <c r="AA3" i="7"/>
  <c r="M15" i="26" s="1"/>
  <c r="AH26" i="7"/>
  <c r="T29" i="7"/>
  <c r="L29" i="7" s="1"/>
  <c r="AJ26" i="7"/>
  <c r="A20" i="27" l="1"/>
  <c r="B22" i="28"/>
  <c r="C23" i="28"/>
  <c r="D22" i="28"/>
  <c r="K19" i="27"/>
  <c r="I19" i="27"/>
  <c r="G19" i="27"/>
  <c r="F19" i="27"/>
  <c r="H19" i="27"/>
  <c r="N28" i="7"/>
  <c r="N29" i="7" s="1"/>
  <c r="M29" i="7"/>
  <c r="Q29" i="7" s="1"/>
  <c r="AE28" i="7"/>
  <c r="AJ28" i="7" s="1"/>
  <c r="AK28" i="7" s="1"/>
  <c r="BR28" i="7"/>
  <c r="BV28" i="7" s="1"/>
  <c r="BW28" i="7" s="1"/>
  <c r="CJ28" i="7"/>
  <c r="CO28" i="7" s="1"/>
  <c r="CP28" i="7" s="1"/>
  <c r="BF30" i="7"/>
  <c r="AX30" i="7" s="1"/>
  <c r="AP32" i="7"/>
  <c r="AQ31" i="7"/>
  <c r="AR31" i="7" s="1"/>
  <c r="AS31" i="7" s="1"/>
  <c r="AO31" i="7"/>
  <c r="BS28" i="7"/>
  <c r="BY29" i="7"/>
  <c r="BR29" i="7" s="1"/>
  <c r="CR29" i="7"/>
  <c r="CK29" i="7" s="1"/>
  <c r="Q27" i="22"/>
  <c r="P26" i="22"/>
  <c r="W24" i="22"/>
  <c r="X24" i="22" s="1"/>
  <c r="CA30" i="7"/>
  <c r="CB31" i="7"/>
  <c r="CC30" i="7"/>
  <c r="CD30" i="7" s="1"/>
  <c r="CE30" i="7" s="1"/>
  <c r="AX29" i="7"/>
  <c r="AZ29" i="7" s="1"/>
  <c r="V25" i="22"/>
  <c r="BD28" i="7"/>
  <c r="AK26" i="7"/>
  <c r="AK27" i="7"/>
  <c r="T30" i="7"/>
  <c r="L30" i="7" s="1"/>
  <c r="Q28" i="7"/>
  <c r="R28" i="7" s="1"/>
  <c r="V30" i="7"/>
  <c r="W31" i="7"/>
  <c r="X30" i="7"/>
  <c r="Y30" i="7" s="1"/>
  <c r="Z30" i="7" s="1"/>
  <c r="D32" i="7"/>
  <c r="E31" i="7"/>
  <c r="F31" i="7" s="1"/>
  <c r="G31" i="7" s="1"/>
  <c r="C31" i="7"/>
  <c r="AM29" i="7"/>
  <c r="AE29" i="7" s="1"/>
  <c r="BJ30" i="7"/>
  <c r="BK30" i="7" s="1"/>
  <c r="BL30" i="7" s="1"/>
  <c r="BH30" i="7"/>
  <c r="BI31" i="7"/>
  <c r="A21" i="27" l="1"/>
  <c r="C24" i="28"/>
  <c r="D23" i="28"/>
  <c r="B23" i="28"/>
  <c r="K20" i="27"/>
  <c r="G20" i="27"/>
  <c r="F20" i="27"/>
  <c r="H20" i="27"/>
  <c r="I20" i="27"/>
  <c r="AG28" i="7"/>
  <c r="AG29" i="7" s="1"/>
  <c r="M30" i="7"/>
  <c r="Q30" i="7" s="1"/>
  <c r="R30" i="7" s="1"/>
  <c r="AF29" i="7"/>
  <c r="AJ29" i="7" s="1"/>
  <c r="AK29" i="7" s="1"/>
  <c r="CL28" i="7"/>
  <c r="R29" i="7"/>
  <c r="W25" i="22"/>
  <c r="X25" i="22" s="1"/>
  <c r="AY30" i="7"/>
  <c r="BC30" i="7" s="1"/>
  <c r="C32" i="7"/>
  <c r="D33" i="7"/>
  <c r="E32" i="7"/>
  <c r="F32" i="7" s="1"/>
  <c r="G32" i="7" s="1"/>
  <c r="V26" i="22"/>
  <c r="BQ29" i="7"/>
  <c r="BS29" i="7" s="1"/>
  <c r="AM30" i="7"/>
  <c r="AF30" i="7" s="1"/>
  <c r="CR30" i="7"/>
  <c r="CJ30" i="7" s="1"/>
  <c r="Q28" i="22"/>
  <c r="P27" i="22"/>
  <c r="T31" i="7"/>
  <c r="M31" i="7" s="1"/>
  <c r="BY30" i="7"/>
  <c r="BR30" i="7" s="1"/>
  <c r="CA31" i="7"/>
  <c r="CC31" i="7"/>
  <c r="CD31" i="7" s="1"/>
  <c r="CE31" i="7" s="1"/>
  <c r="CB32" i="7"/>
  <c r="BC29" i="7"/>
  <c r="BD29" i="7" s="1"/>
  <c r="BI32" i="7"/>
  <c r="BJ31" i="7"/>
  <c r="BK31" i="7" s="1"/>
  <c r="BL31" i="7" s="1"/>
  <c r="BH31" i="7"/>
  <c r="W32" i="7"/>
  <c r="X31" i="7"/>
  <c r="Y31" i="7" s="1"/>
  <c r="Z31" i="7" s="1"/>
  <c r="V31" i="7"/>
  <c r="AZ30" i="7"/>
  <c r="N30" i="7"/>
  <c r="CJ29" i="7"/>
  <c r="BF31" i="7"/>
  <c r="AX31" i="7" s="1"/>
  <c r="AQ32" i="7"/>
  <c r="AR32" i="7" s="1"/>
  <c r="AS32" i="7" s="1"/>
  <c r="AO32" i="7"/>
  <c r="AP33" i="7"/>
  <c r="A22" i="27" l="1"/>
  <c r="D24" i="28"/>
  <c r="B24" i="28"/>
  <c r="C25" i="28"/>
  <c r="K21" i="27"/>
  <c r="I21" i="27"/>
  <c r="F21" i="27"/>
  <c r="G21" i="27"/>
  <c r="H21" i="27"/>
  <c r="AY31" i="7"/>
  <c r="BC31" i="7" s="1"/>
  <c r="BD31" i="7" s="1"/>
  <c r="CK30" i="7"/>
  <c r="CO30" i="7" s="1"/>
  <c r="BQ30" i="7"/>
  <c r="BV30" i="7" s="1"/>
  <c r="BJ32" i="7"/>
  <c r="BK32" i="7" s="1"/>
  <c r="BL32" i="7" s="1"/>
  <c r="BI33" i="7"/>
  <c r="BH32" i="7"/>
  <c r="W26" i="22"/>
  <c r="X26" i="22" s="1"/>
  <c r="AQ33" i="7"/>
  <c r="AR33" i="7" s="1"/>
  <c r="AS33" i="7" s="1"/>
  <c r="AP34" i="7"/>
  <c r="AO33" i="7"/>
  <c r="AZ31" i="7"/>
  <c r="L31" i="7"/>
  <c r="Q31" i="7" s="1"/>
  <c r="R31" i="7" s="1"/>
  <c r="BF32" i="7"/>
  <c r="AX32" i="7" s="1"/>
  <c r="CB33" i="7"/>
  <c r="CC32" i="7"/>
  <c r="CD32" i="7" s="1"/>
  <c r="CE32" i="7" s="1"/>
  <c r="CA32" i="7"/>
  <c r="CL29" i="7"/>
  <c r="CL30" i="7" s="1"/>
  <c r="T32" i="7"/>
  <c r="L32" i="7" s="1"/>
  <c r="CR31" i="7"/>
  <c r="CK31" i="7" s="1"/>
  <c r="V27" i="22"/>
  <c r="AE30" i="7"/>
  <c r="AJ30" i="7" s="1"/>
  <c r="AK30" i="7" s="1"/>
  <c r="D34" i="7"/>
  <c r="C33" i="7"/>
  <c r="E33" i="7"/>
  <c r="F33" i="7" s="1"/>
  <c r="G33" i="7" s="1"/>
  <c r="AM31" i="7"/>
  <c r="AE31" i="7" s="1"/>
  <c r="V32" i="7"/>
  <c r="W33" i="7"/>
  <c r="X32" i="7"/>
  <c r="Y32" i="7" s="1"/>
  <c r="Z32" i="7" s="1"/>
  <c r="CO29" i="7"/>
  <c r="CP29" i="7" s="1"/>
  <c r="Q29" i="22"/>
  <c r="P28" i="22"/>
  <c r="BD30" i="7"/>
  <c r="BY31" i="7"/>
  <c r="BR31" i="7" s="1"/>
  <c r="BV29" i="7"/>
  <c r="BW29" i="7" s="1"/>
  <c r="B25" i="28" l="1"/>
  <c r="A23" i="27"/>
  <c r="C26" i="28"/>
  <c r="D25" i="28"/>
  <c r="F22" i="27"/>
  <c r="K22" i="27"/>
  <c r="G22" i="27"/>
  <c r="H22" i="27"/>
  <c r="I22" i="27"/>
  <c r="BS30" i="7"/>
  <c r="CJ31" i="7"/>
  <c r="CO31" i="7" s="1"/>
  <c r="CP31" i="7" s="1"/>
  <c r="AF31" i="7"/>
  <c r="AJ31" i="7" s="1"/>
  <c r="AK31" i="7" s="1"/>
  <c r="M32" i="7"/>
  <c r="Q32" i="7" s="1"/>
  <c r="R32" i="7" s="1"/>
  <c r="AY32" i="7"/>
  <c r="BC32" i="7" s="1"/>
  <c r="BD32" i="7" s="1"/>
  <c r="BQ31" i="7"/>
  <c r="P29" i="22"/>
  <c r="Q30" i="22"/>
  <c r="CP30" i="7"/>
  <c r="T33" i="7"/>
  <c r="M33" i="7" s="1"/>
  <c r="CR32" i="7"/>
  <c r="CJ32" i="7" s="1"/>
  <c r="AZ32" i="7"/>
  <c r="AM32" i="7"/>
  <c r="AE32" i="7" s="1"/>
  <c r="BW30" i="7"/>
  <c r="CA33" i="7"/>
  <c r="CB34" i="7"/>
  <c r="CC33" i="7"/>
  <c r="CD33" i="7" s="1"/>
  <c r="CE33" i="7" s="1"/>
  <c r="N31" i="7"/>
  <c r="N32" i="7" s="1"/>
  <c r="BH33" i="7"/>
  <c r="BI34" i="7"/>
  <c r="BJ33" i="7"/>
  <c r="BK33" i="7" s="1"/>
  <c r="BL33" i="7" s="1"/>
  <c r="W34" i="7"/>
  <c r="V33" i="7"/>
  <c r="X33" i="7"/>
  <c r="Y33" i="7" s="1"/>
  <c r="Z33" i="7" s="1"/>
  <c r="E34" i="7"/>
  <c r="F34" i="7" s="1"/>
  <c r="G34" i="7" s="1"/>
  <c r="D35" i="7"/>
  <c r="C34" i="7"/>
  <c r="AG30" i="7"/>
  <c r="AG31" i="7" s="1"/>
  <c r="BY32" i="7"/>
  <c r="BR32" i="7" s="1"/>
  <c r="AP35" i="7"/>
  <c r="AO34" i="7"/>
  <c r="AQ34" i="7"/>
  <c r="AR34" i="7" s="1"/>
  <c r="AS34" i="7" s="1"/>
  <c r="W27" i="22"/>
  <c r="X27" i="22" s="1"/>
  <c r="BF33" i="7"/>
  <c r="AY33" i="7" s="1"/>
  <c r="V28" i="22"/>
  <c r="A24" i="27" l="1"/>
  <c r="C27" i="28"/>
  <c r="D26" i="28"/>
  <c r="B26" i="28"/>
  <c r="K23" i="27"/>
  <c r="G23" i="27"/>
  <c r="I23" i="27"/>
  <c r="H23" i="27"/>
  <c r="F23" i="27"/>
  <c r="BS31" i="7"/>
  <c r="CK32" i="7"/>
  <c r="CO32" i="7" s="1"/>
  <c r="CP32" i="7" s="1"/>
  <c r="CL31" i="7"/>
  <c r="CL32" i="7" s="1"/>
  <c r="AF32" i="7"/>
  <c r="AJ32" i="7" s="1"/>
  <c r="AK32" i="7" s="1"/>
  <c r="AX33" i="7"/>
  <c r="BC33" i="7" s="1"/>
  <c r="BD33" i="7" s="1"/>
  <c r="BQ32" i="7"/>
  <c r="BV31" i="7"/>
  <c r="BW31" i="7" s="1"/>
  <c r="AG32" i="7"/>
  <c r="BI35" i="7"/>
  <c r="BJ34" i="7"/>
  <c r="BK34" i="7" s="1"/>
  <c r="BL34" i="7" s="1"/>
  <c r="BH34" i="7"/>
  <c r="BF34" i="7"/>
  <c r="AY34" i="7" s="1"/>
  <c r="E35" i="7"/>
  <c r="F35" i="7" s="1"/>
  <c r="G35" i="7" s="1"/>
  <c r="C35" i="7"/>
  <c r="D36" i="7"/>
  <c r="T34" i="7"/>
  <c r="M34" i="7" s="1"/>
  <c r="AO35" i="7"/>
  <c r="AQ35" i="7"/>
  <c r="AR35" i="7" s="1"/>
  <c r="AS35" i="7" s="1"/>
  <c r="AP36" i="7"/>
  <c r="AM33" i="7"/>
  <c r="AF33" i="7" s="1"/>
  <c r="CR33" i="7"/>
  <c r="CK33" i="7" s="1"/>
  <c r="P30" i="22"/>
  <c r="Q31" i="22"/>
  <c r="CB35" i="7"/>
  <c r="CA34" i="7"/>
  <c r="CC34" i="7"/>
  <c r="CD34" i="7" s="1"/>
  <c r="CE34" i="7" s="1"/>
  <c r="X34" i="7"/>
  <c r="Y34" i="7" s="1"/>
  <c r="Z34" i="7" s="1"/>
  <c r="V34" i="7"/>
  <c r="W35" i="7"/>
  <c r="L33" i="7"/>
  <c r="Q33" i="7" s="1"/>
  <c r="R33" i="7" s="1"/>
  <c r="W28" i="22"/>
  <c r="X28" i="22" s="1"/>
  <c r="BY33" i="7"/>
  <c r="BQ33" i="7" s="1"/>
  <c r="V29" i="22"/>
  <c r="D27" i="28" l="1"/>
  <c r="A25" i="27"/>
  <c r="B27" i="28"/>
  <c r="C28" i="28"/>
  <c r="K24" i="27"/>
  <c r="I24" i="27"/>
  <c r="H24" i="27"/>
  <c r="G24" i="27"/>
  <c r="F24" i="27"/>
  <c r="BS32" i="7"/>
  <c r="BS33" i="7" s="1"/>
  <c r="AZ33" i="7"/>
  <c r="BR33" i="7"/>
  <c r="BV33" i="7" s="1"/>
  <c r="AE33" i="7"/>
  <c r="AG33" i="7" s="1"/>
  <c r="BV32" i="7"/>
  <c r="BW32" i="7" s="1"/>
  <c r="CJ33" i="7"/>
  <c r="CO33" i="7" s="1"/>
  <c r="CP33" i="7" s="1"/>
  <c r="N33" i="7"/>
  <c r="AX34" i="7"/>
  <c r="BC34" i="7" s="1"/>
  <c r="BD34" i="7" s="1"/>
  <c r="V35" i="7"/>
  <c r="W36" i="7"/>
  <c r="X35" i="7"/>
  <c r="Y35" i="7" s="1"/>
  <c r="Z35" i="7" s="1"/>
  <c r="V30" i="22"/>
  <c r="L34" i="7"/>
  <c r="Q34" i="7" s="1"/>
  <c r="R34" i="7" s="1"/>
  <c r="T35" i="7"/>
  <c r="M35" i="7" s="1"/>
  <c r="AM34" i="7"/>
  <c r="AE34" i="7" s="1"/>
  <c r="AP37" i="7"/>
  <c r="AQ36" i="7"/>
  <c r="AR36" i="7" s="1"/>
  <c r="AS36" i="7" s="1"/>
  <c r="AO36" i="7"/>
  <c r="Q32" i="22"/>
  <c r="P31" i="22"/>
  <c r="CR34" i="7"/>
  <c r="CJ34" i="7" s="1"/>
  <c r="BF35" i="7"/>
  <c r="AX35" i="7" s="1"/>
  <c r="BY34" i="7"/>
  <c r="BR34" i="7" s="1"/>
  <c r="D37" i="7"/>
  <c r="E36" i="7"/>
  <c r="F36" i="7" s="1"/>
  <c r="G36" i="7" s="1"/>
  <c r="C36" i="7"/>
  <c r="BJ35" i="7"/>
  <c r="BK35" i="7" s="1"/>
  <c r="BL35" i="7" s="1"/>
  <c r="BI36" i="7"/>
  <c r="BH35" i="7"/>
  <c r="W29" i="22"/>
  <c r="X29" i="22" s="1"/>
  <c r="CC35" i="7"/>
  <c r="CD35" i="7" s="1"/>
  <c r="CE35" i="7" s="1"/>
  <c r="CA35" i="7"/>
  <c r="CB36" i="7"/>
  <c r="A26" i="27" l="1"/>
  <c r="D28" i="28"/>
  <c r="C29" i="28"/>
  <c r="B28" i="28"/>
  <c r="K25" i="27"/>
  <c r="I25" i="27"/>
  <c r="F25" i="27"/>
  <c r="H25" i="27"/>
  <c r="G25" i="27"/>
  <c r="CK34" i="7"/>
  <c r="CO34" i="7" s="1"/>
  <c r="CP34" i="7" s="1"/>
  <c r="BW33" i="7"/>
  <c r="CL33" i="7"/>
  <c r="CL34" i="7" s="1"/>
  <c r="AG34" i="7"/>
  <c r="BQ34" i="7"/>
  <c r="BV34" i="7" s="1"/>
  <c r="BW34" i="7" s="1"/>
  <c r="AJ33" i="7"/>
  <c r="AK33" i="7" s="1"/>
  <c r="AZ34" i="7"/>
  <c r="AZ35" i="7" s="1"/>
  <c r="L35" i="7"/>
  <c r="Q35" i="7" s="1"/>
  <c r="R35" i="7" s="1"/>
  <c r="AF34" i="7"/>
  <c r="AJ34" i="7" s="1"/>
  <c r="AY35" i="7"/>
  <c r="BC35" i="7" s="1"/>
  <c r="BD35" i="7" s="1"/>
  <c r="CA36" i="7"/>
  <c r="CC36" i="7"/>
  <c r="CD36" i="7" s="1"/>
  <c r="CE36" i="7" s="1"/>
  <c r="CB37" i="7"/>
  <c r="AM35" i="7"/>
  <c r="AF35" i="7" s="1"/>
  <c r="W37" i="7"/>
  <c r="X36" i="7"/>
  <c r="Y36" i="7" s="1"/>
  <c r="Z36" i="7" s="1"/>
  <c r="V36" i="7"/>
  <c r="Q33" i="22"/>
  <c r="P32" i="22"/>
  <c r="BY35" i="7"/>
  <c r="BR35" i="7" s="1"/>
  <c r="BF36" i="7"/>
  <c r="AY36" i="7" s="1"/>
  <c r="N34" i="7"/>
  <c r="CR35" i="7"/>
  <c r="CK35" i="7" s="1"/>
  <c r="C37" i="7"/>
  <c r="D38" i="7"/>
  <c r="E37" i="7"/>
  <c r="F37" i="7" s="1"/>
  <c r="G37" i="7" s="1"/>
  <c r="AQ37" i="7"/>
  <c r="AR37" i="7" s="1"/>
  <c r="AS37" i="7" s="1"/>
  <c r="AO37" i="7"/>
  <c r="AP38" i="7"/>
  <c r="W30" i="22"/>
  <c r="X30" i="22" s="1"/>
  <c r="T36" i="7"/>
  <c r="M36" i="7" s="1"/>
  <c r="BI37" i="7"/>
  <c r="BJ36" i="7"/>
  <c r="BK36" i="7" s="1"/>
  <c r="BL36" i="7" s="1"/>
  <c r="BH36" i="7"/>
  <c r="V31" i="22"/>
  <c r="A27" i="27" l="1"/>
  <c r="C30" i="28"/>
  <c r="D29" i="28"/>
  <c r="B29" i="28"/>
  <c r="K26" i="27"/>
  <c r="F26" i="27"/>
  <c r="I26" i="27"/>
  <c r="H26" i="27"/>
  <c r="G26" i="27"/>
  <c r="AX36" i="7"/>
  <c r="AZ36" i="7" s="1"/>
  <c r="BS34" i="7"/>
  <c r="AK34" i="7"/>
  <c r="BQ35" i="7"/>
  <c r="BV35" i="7" s="1"/>
  <c r="BW35" i="7" s="1"/>
  <c r="N35" i="7"/>
  <c r="L36" i="7"/>
  <c r="Q36" i="7" s="1"/>
  <c r="R36" i="7" s="1"/>
  <c r="V32" i="22"/>
  <c r="AE35" i="7"/>
  <c r="AG35" i="7" s="1"/>
  <c r="T37" i="7"/>
  <c r="L37" i="7" s="1"/>
  <c r="X37" i="7"/>
  <c r="Y37" i="7" s="1"/>
  <c r="Z37" i="7" s="1"/>
  <c r="V37" i="7"/>
  <c r="W38" i="7"/>
  <c r="E38" i="7"/>
  <c r="F38" i="7" s="1"/>
  <c r="G38" i="7" s="1"/>
  <c r="C38" i="7"/>
  <c r="D39" i="7"/>
  <c r="Q34" i="22"/>
  <c r="P33" i="22"/>
  <c r="CC37" i="7"/>
  <c r="CD37" i="7" s="1"/>
  <c r="CE37" i="7" s="1"/>
  <c r="CB38" i="7"/>
  <c r="CA37" i="7"/>
  <c r="BI38" i="7"/>
  <c r="BJ37" i="7"/>
  <c r="BK37" i="7" s="1"/>
  <c r="BL37" i="7" s="1"/>
  <c r="BH37" i="7"/>
  <c r="CR36" i="7"/>
  <c r="CK36" i="7" s="1"/>
  <c r="BY36" i="7"/>
  <c r="BR36" i="7" s="1"/>
  <c r="AP39" i="7"/>
  <c r="AQ38" i="7"/>
  <c r="AR38" i="7" s="1"/>
  <c r="AS38" i="7" s="1"/>
  <c r="AO38" i="7"/>
  <c r="CJ35" i="7"/>
  <c r="CL35" i="7" s="1"/>
  <c r="W31" i="22"/>
  <c r="X31" i="22" s="1"/>
  <c r="BF37" i="7"/>
  <c r="AY37" i="7" s="1"/>
  <c r="AM36" i="7"/>
  <c r="AE36" i="7" s="1"/>
  <c r="K27" i="27" l="1"/>
  <c r="F27" i="27"/>
  <c r="H27" i="27"/>
  <c r="I27" i="27"/>
  <c r="G27" i="27"/>
  <c r="A28" i="27"/>
  <c r="B30" i="28"/>
  <c r="C31" i="28"/>
  <c r="D30" i="28"/>
  <c r="BS35" i="7"/>
  <c r="BC36" i="7"/>
  <c r="BD36" i="7" s="1"/>
  <c r="N36" i="7"/>
  <c r="N37" i="7" s="1"/>
  <c r="AX37" i="7"/>
  <c r="AZ37" i="7" s="1"/>
  <c r="BQ36" i="7"/>
  <c r="BV36" i="7" s="1"/>
  <c r="BW36" i="7" s="1"/>
  <c r="CJ36" i="7"/>
  <c r="CO36" i="7" s="1"/>
  <c r="M37" i="7"/>
  <c r="Q37" i="7" s="1"/>
  <c r="R37" i="7" s="1"/>
  <c r="BI39" i="7"/>
  <c r="BH38" i="7"/>
  <c r="BJ38" i="7"/>
  <c r="BK38" i="7" s="1"/>
  <c r="BL38" i="7" s="1"/>
  <c r="Q35" i="22"/>
  <c r="P34" i="22"/>
  <c r="C39" i="7"/>
  <c r="D40" i="7"/>
  <c r="E39" i="7"/>
  <c r="F39" i="7" s="1"/>
  <c r="G39" i="7" s="1"/>
  <c r="BY37" i="7"/>
  <c r="BQ37" i="7" s="1"/>
  <c r="AF36" i="7"/>
  <c r="AJ36" i="7" s="1"/>
  <c r="AG36" i="7"/>
  <c r="CB39" i="7"/>
  <c r="CC38" i="7"/>
  <c r="CD38" i="7" s="1"/>
  <c r="CE38" i="7" s="1"/>
  <c r="CA38" i="7"/>
  <c r="T38" i="7"/>
  <c r="M38" i="7" s="1"/>
  <c r="W32" i="22"/>
  <c r="X32" i="22" s="1"/>
  <c r="CR37" i="7"/>
  <c r="CK37" i="7" s="1"/>
  <c r="V38" i="7"/>
  <c r="W39" i="7"/>
  <c r="X38" i="7"/>
  <c r="Y38" i="7" s="1"/>
  <c r="Z38" i="7" s="1"/>
  <c r="BF38" i="7"/>
  <c r="AX38" i="7" s="1"/>
  <c r="V33" i="22"/>
  <c r="CO35" i="7"/>
  <c r="CP35" i="7" s="1"/>
  <c r="AO39" i="7"/>
  <c r="AQ39" i="7"/>
  <c r="AR39" i="7" s="1"/>
  <c r="AS39" i="7" s="1"/>
  <c r="AP40" i="7"/>
  <c r="AM37" i="7"/>
  <c r="AF37" i="7" s="1"/>
  <c r="AJ35" i="7"/>
  <c r="AK35" i="7" s="1"/>
  <c r="A29" i="27" l="1"/>
  <c r="C32" i="28"/>
  <c r="D31" i="28"/>
  <c r="B31" i="28"/>
  <c r="K28" i="27"/>
  <c r="F28" i="27"/>
  <c r="H28" i="27"/>
  <c r="G28" i="27"/>
  <c r="I28" i="27"/>
  <c r="AY38" i="7"/>
  <c r="BC38" i="7" s="1"/>
  <c r="CL36" i="7"/>
  <c r="AK36" i="7"/>
  <c r="BS36" i="7"/>
  <c r="BS37" i="7" s="1"/>
  <c r="BC37" i="7"/>
  <c r="BD37" i="7" s="1"/>
  <c r="CJ37" i="7"/>
  <c r="CO37" i="7" s="1"/>
  <c r="CP37" i="7" s="1"/>
  <c r="AE37" i="7"/>
  <c r="AJ37" i="7" s="1"/>
  <c r="AK37" i="7" s="1"/>
  <c r="CP36" i="7"/>
  <c r="Q36" i="22"/>
  <c r="P35" i="22"/>
  <c r="CR38" i="7"/>
  <c r="CJ38" i="7" s="1"/>
  <c r="BR37" i="7"/>
  <c r="BV37" i="7" s="1"/>
  <c r="BW37" i="7" s="1"/>
  <c r="BF39" i="7"/>
  <c r="AX39" i="7" s="1"/>
  <c r="CC39" i="7"/>
  <c r="CD39" i="7" s="1"/>
  <c r="CE39" i="7" s="1"/>
  <c r="CA39" i="7"/>
  <c r="CB40" i="7"/>
  <c r="AT4" i="7"/>
  <c r="N16" i="26" s="1"/>
  <c r="BA38" i="7"/>
  <c r="T39" i="7"/>
  <c r="L39" i="7" s="1"/>
  <c r="BY38" i="7"/>
  <c r="BQ38" i="7" s="1"/>
  <c r="V34" i="22"/>
  <c r="E40" i="7"/>
  <c r="F40" i="7" s="1"/>
  <c r="G40" i="7" s="1"/>
  <c r="C40" i="7"/>
  <c r="D41" i="7"/>
  <c r="AP41" i="7"/>
  <c r="AQ40" i="7"/>
  <c r="AR40" i="7" s="1"/>
  <c r="AS40" i="7" s="1"/>
  <c r="AO40" i="7"/>
  <c r="W40" i="7"/>
  <c r="X39" i="7"/>
  <c r="Y39" i="7" s="1"/>
  <c r="Z39" i="7" s="1"/>
  <c r="V39" i="7"/>
  <c r="L38" i="7"/>
  <c r="BH39" i="7"/>
  <c r="BI40" i="7"/>
  <c r="BJ39" i="7"/>
  <c r="BK39" i="7" s="1"/>
  <c r="BL39" i="7" s="1"/>
  <c r="AM38" i="7"/>
  <c r="AE38" i="7" s="1"/>
  <c r="W33" i="22"/>
  <c r="X33" i="22" s="1"/>
  <c r="AZ38" i="7"/>
  <c r="A30" i="27" l="1"/>
  <c r="D32" i="28"/>
  <c r="B32" i="28"/>
  <c r="C33" i="28"/>
  <c r="K29" i="27"/>
  <c r="H29" i="27"/>
  <c r="G29" i="27"/>
  <c r="I29" i="27"/>
  <c r="F29" i="27"/>
  <c r="BD38" i="7"/>
  <c r="AG37" i="7"/>
  <c r="AG38" i="7" s="1"/>
  <c r="CL37" i="7"/>
  <c r="CL38" i="7" s="1"/>
  <c r="BR38" i="7"/>
  <c r="BV38" i="7" s="1"/>
  <c r="BW38" i="7" s="1"/>
  <c r="AF38" i="7"/>
  <c r="AJ38" i="7" s="1"/>
  <c r="AK38" i="7" s="1"/>
  <c r="AY39" i="7"/>
  <c r="BC39" i="7" s="1"/>
  <c r="BD39" i="7" s="1"/>
  <c r="CK38" i="7"/>
  <c r="CO38" i="7" s="1"/>
  <c r="CP38" i="7" s="1"/>
  <c r="CF4" i="7"/>
  <c r="N18" i="26" s="1"/>
  <c r="CM38" i="7"/>
  <c r="BM4" i="7"/>
  <c r="N17" i="26" s="1"/>
  <c r="BT38" i="7"/>
  <c r="AA4" i="7"/>
  <c r="N15" i="26" s="1"/>
  <c r="AH38" i="7"/>
  <c r="AM39" i="7"/>
  <c r="AF39" i="7" s="1"/>
  <c r="CR39" i="7"/>
  <c r="CK39" i="7" s="1"/>
  <c r="V35" i="22"/>
  <c r="CB41" i="7"/>
  <c r="CC40" i="7"/>
  <c r="CD40" i="7" s="1"/>
  <c r="CE40" i="7" s="1"/>
  <c r="CA40" i="7"/>
  <c r="W41" i="7"/>
  <c r="X40" i="7"/>
  <c r="Y40" i="7" s="1"/>
  <c r="Z40" i="7" s="1"/>
  <c r="V40" i="7"/>
  <c r="T40" i="7"/>
  <c r="M40" i="7" s="1"/>
  <c r="M39" i="7"/>
  <c r="Q39" i="7" s="1"/>
  <c r="BY39" i="7"/>
  <c r="BQ39" i="7" s="1"/>
  <c r="BS38" i="7"/>
  <c r="Q37" i="22"/>
  <c r="P36" i="22"/>
  <c r="C41" i="7"/>
  <c r="E41" i="7"/>
  <c r="F41" i="7" s="1"/>
  <c r="G41" i="7" s="1"/>
  <c r="D42" i="7"/>
  <c r="BH40" i="7"/>
  <c r="BJ40" i="7"/>
  <c r="BK40" i="7" s="1"/>
  <c r="BL40" i="7" s="1"/>
  <c r="BI41" i="7"/>
  <c r="BF40" i="7"/>
  <c r="AX40" i="7" s="1"/>
  <c r="W34" i="22"/>
  <c r="X34" i="22" s="1"/>
  <c r="H4" i="7"/>
  <c r="O38" i="7"/>
  <c r="AZ39" i="7"/>
  <c r="N38" i="7"/>
  <c r="N39" i="7" s="1"/>
  <c r="AQ41" i="7"/>
  <c r="AR41" i="7" s="1"/>
  <c r="AS41" i="7" s="1"/>
  <c r="AO41" i="7"/>
  <c r="AP42" i="7"/>
  <c r="Q38" i="7"/>
  <c r="R38" i="7" s="1"/>
  <c r="A31" i="27" l="1"/>
  <c r="B33" i="28"/>
  <c r="C34" i="28"/>
  <c r="D33" i="28"/>
  <c r="K30" i="27"/>
  <c r="G30" i="27"/>
  <c r="H30" i="27"/>
  <c r="I30" i="27"/>
  <c r="F30" i="27"/>
  <c r="AE39" i="7"/>
  <c r="AG39" i="7" s="1"/>
  <c r="BR39" i="7"/>
  <c r="BV39" i="7" s="1"/>
  <c r="BW39" i="7" s="1"/>
  <c r="L40" i="7"/>
  <c r="Q40" i="7" s="1"/>
  <c r="R40" i="7" s="1"/>
  <c r="CJ39" i="7"/>
  <c r="CO39" i="7" s="1"/>
  <c r="CP39" i="7" s="1"/>
  <c r="AY40" i="7"/>
  <c r="BC40" i="7" s="1"/>
  <c r="BD40" i="7" s="1"/>
  <c r="AM40" i="7"/>
  <c r="AE40" i="7" s="1"/>
  <c r="BJ41" i="7"/>
  <c r="BK41" i="7" s="1"/>
  <c r="BL41" i="7" s="1"/>
  <c r="BH41" i="7"/>
  <c r="BI42" i="7"/>
  <c r="V41" i="7"/>
  <c r="W42" i="7"/>
  <c r="X41" i="7"/>
  <c r="Y41" i="7" s="1"/>
  <c r="Z41" i="7" s="1"/>
  <c r="BY40" i="7"/>
  <c r="BR40" i="7" s="1"/>
  <c r="Q38" i="22"/>
  <c r="P37" i="22"/>
  <c r="V36" i="22"/>
  <c r="R39" i="7"/>
  <c r="CR40" i="7"/>
  <c r="CJ40" i="7" s="1"/>
  <c r="AP43" i="7"/>
  <c r="AQ42" i="7"/>
  <c r="AR42" i="7" s="1"/>
  <c r="AS42" i="7" s="1"/>
  <c r="AO42" i="7"/>
  <c r="D43" i="7"/>
  <c r="E42" i="7"/>
  <c r="F42" i="7" s="1"/>
  <c r="G42" i="7" s="1"/>
  <c r="C42" i="7"/>
  <c r="CB42" i="7"/>
  <c r="CC41" i="7"/>
  <c r="CD41" i="7" s="1"/>
  <c r="CE41" i="7" s="1"/>
  <c r="CA41" i="7"/>
  <c r="AZ40" i="7"/>
  <c r="T41" i="7"/>
  <c r="M41" i="7" s="1"/>
  <c r="BF41" i="7"/>
  <c r="AX41" i="7" s="1"/>
  <c r="BS39" i="7"/>
  <c r="W35" i="22"/>
  <c r="X35" i="22" s="1"/>
  <c r="A32" i="27" l="1"/>
  <c r="C35" i="28"/>
  <c r="D34" i="28"/>
  <c r="B34" i="28"/>
  <c r="K31" i="27"/>
  <c r="H31" i="27"/>
  <c r="I31" i="27"/>
  <c r="G31" i="27"/>
  <c r="F31" i="27"/>
  <c r="N40" i="7"/>
  <c r="CK40" i="7"/>
  <c r="CO40" i="7" s="1"/>
  <c r="CP40" i="7" s="1"/>
  <c r="AJ39" i="7"/>
  <c r="AK39" i="7" s="1"/>
  <c r="CL39" i="7"/>
  <c r="CL40" i="7" s="1"/>
  <c r="AY41" i="7"/>
  <c r="BC41" i="7" s="1"/>
  <c r="BD41" i="7" s="1"/>
  <c r="L41" i="7"/>
  <c r="Q41" i="7" s="1"/>
  <c r="R41" i="7" s="1"/>
  <c r="AG40" i="7"/>
  <c r="W36" i="22"/>
  <c r="X36" i="22" s="1"/>
  <c r="AP44" i="7"/>
  <c r="AQ43" i="7"/>
  <c r="AR43" i="7" s="1"/>
  <c r="AS43" i="7" s="1"/>
  <c r="AO43" i="7"/>
  <c r="BY41" i="7"/>
  <c r="BR41" i="7" s="1"/>
  <c r="CR41" i="7"/>
  <c r="CJ41" i="7" s="1"/>
  <c r="V37" i="22"/>
  <c r="AF40" i="7"/>
  <c r="AJ40" i="7" s="1"/>
  <c r="BF42" i="7"/>
  <c r="AY42" i="7" s="1"/>
  <c r="Q39" i="22"/>
  <c r="P38" i="22"/>
  <c r="AM41" i="7"/>
  <c r="AE41" i="7" s="1"/>
  <c r="CA42" i="7"/>
  <c r="CB43" i="7"/>
  <c r="CC42" i="7"/>
  <c r="CD42" i="7" s="1"/>
  <c r="CE42" i="7" s="1"/>
  <c r="W43" i="7"/>
  <c r="X42" i="7"/>
  <c r="Y42" i="7" s="1"/>
  <c r="Z42" i="7" s="1"/>
  <c r="V42" i="7"/>
  <c r="T42" i="7"/>
  <c r="L42" i="7" s="1"/>
  <c r="E43" i="7"/>
  <c r="F43" i="7" s="1"/>
  <c r="G43" i="7" s="1"/>
  <c r="C43" i="7"/>
  <c r="D44" i="7"/>
  <c r="BQ40" i="7"/>
  <c r="BV40" i="7" s="1"/>
  <c r="BW40" i="7" s="1"/>
  <c r="AZ41" i="7"/>
  <c r="BH42" i="7"/>
  <c r="BJ42" i="7"/>
  <c r="BK42" i="7" s="1"/>
  <c r="BL42" i="7" s="1"/>
  <c r="BI43" i="7"/>
  <c r="A33" i="27" l="1"/>
  <c r="D35" i="28"/>
  <c r="B35" i="28"/>
  <c r="C36" i="28"/>
  <c r="K32" i="27"/>
  <c r="G32" i="27"/>
  <c r="F32" i="27"/>
  <c r="I32" i="27"/>
  <c r="H32" i="27"/>
  <c r="AK40" i="7"/>
  <c r="N41" i="7"/>
  <c r="N42" i="7" s="1"/>
  <c r="CK41" i="7"/>
  <c r="CO41" i="7" s="1"/>
  <c r="CP41" i="7" s="1"/>
  <c r="AX42" i="7"/>
  <c r="BC42" i="7" s="1"/>
  <c r="BD42" i="7" s="1"/>
  <c r="CL41" i="7"/>
  <c r="AO44" i="7"/>
  <c r="AQ44" i="7"/>
  <c r="AR44" i="7" s="1"/>
  <c r="AS44" i="7" s="1"/>
  <c r="AP45" i="7"/>
  <c r="D45" i="7"/>
  <c r="E44" i="7"/>
  <c r="F44" i="7" s="1"/>
  <c r="G44" i="7" s="1"/>
  <c r="C44" i="7"/>
  <c r="M42" i="7"/>
  <c r="Q42" i="7" s="1"/>
  <c r="R42" i="7" s="1"/>
  <c r="AF41" i="7"/>
  <c r="AJ41" i="7" s="1"/>
  <c r="AK41" i="7" s="1"/>
  <c r="AM42" i="7"/>
  <c r="AE42" i="7" s="1"/>
  <c r="T43" i="7"/>
  <c r="M43" i="7" s="1"/>
  <c r="BY42" i="7"/>
  <c r="BQ42" i="7" s="1"/>
  <c r="BS40" i="7"/>
  <c r="X43" i="7"/>
  <c r="Y43" i="7" s="1"/>
  <c r="Z43" i="7" s="1"/>
  <c r="V43" i="7"/>
  <c r="W44" i="7"/>
  <c r="V38" i="22"/>
  <c r="BQ41" i="7"/>
  <c r="BV41" i="7" s="1"/>
  <c r="BW41" i="7" s="1"/>
  <c r="CR42" i="7"/>
  <c r="CJ42" i="7" s="1"/>
  <c r="W37" i="22"/>
  <c r="X37" i="22" s="1"/>
  <c r="AG41" i="7"/>
  <c r="BI44" i="7"/>
  <c r="BJ43" i="7"/>
  <c r="BK43" i="7" s="1"/>
  <c r="BL43" i="7" s="1"/>
  <c r="BH43" i="7"/>
  <c r="CB44" i="7"/>
  <c r="CA43" i="7"/>
  <c r="CC43" i="7"/>
  <c r="CD43" i="7" s="1"/>
  <c r="CE43" i="7" s="1"/>
  <c r="Q40" i="22"/>
  <c r="P39" i="22"/>
  <c r="BF43" i="7"/>
  <c r="AX43" i="7" s="1"/>
  <c r="A34" i="27" l="1"/>
  <c r="C37" i="28"/>
  <c r="D36" i="28"/>
  <c r="B36" i="28"/>
  <c r="K33" i="27"/>
  <c r="I33" i="27"/>
  <c r="G33" i="27"/>
  <c r="H33" i="27"/>
  <c r="F33" i="27"/>
  <c r="AZ42" i="7"/>
  <c r="AZ43" i="7" s="1"/>
  <c r="AF42" i="7"/>
  <c r="AJ42" i="7" s="1"/>
  <c r="AK42" i="7" s="1"/>
  <c r="AP46" i="7"/>
  <c r="AQ45" i="7"/>
  <c r="AR45" i="7" s="1"/>
  <c r="AS45" i="7" s="1"/>
  <c r="AO45" i="7"/>
  <c r="CR43" i="7"/>
  <c r="CJ43" i="7" s="1"/>
  <c r="AG42" i="7"/>
  <c r="W38" i="22"/>
  <c r="X38" i="22" s="1"/>
  <c r="BR42" i="7"/>
  <c r="BV42" i="7" s="1"/>
  <c r="BW42" i="7" s="1"/>
  <c r="BJ44" i="7"/>
  <c r="BK44" i="7" s="1"/>
  <c r="BL44" i="7" s="1"/>
  <c r="BH44" i="7"/>
  <c r="BI45" i="7"/>
  <c r="BF44" i="7"/>
  <c r="AX44" i="7" s="1"/>
  <c r="CC44" i="7"/>
  <c r="CD44" i="7" s="1"/>
  <c r="CE44" i="7" s="1"/>
  <c r="CA44" i="7"/>
  <c r="CB45" i="7"/>
  <c r="V44" i="7"/>
  <c r="W45" i="7"/>
  <c r="X44" i="7"/>
  <c r="Y44" i="7" s="1"/>
  <c r="Z44" i="7" s="1"/>
  <c r="BY43" i="7"/>
  <c r="BR43" i="7" s="1"/>
  <c r="L43" i="7"/>
  <c r="Q43" i="7" s="1"/>
  <c r="R43" i="7" s="1"/>
  <c r="AY43" i="7"/>
  <c r="BC43" i="7" s="1"/>
  <c r="BD43" i="7" s="1"/>
  <c r="CK42" i="7"/>
  <c r="CO42" i="7" s="1"/>
  <c r="CP42" i="7" s="1"/>
  <c r="CL42" i="7"/>
  <c r="V39" i="22"/>
  <c r="AM43" i="7"/>
  <c r="AF43" i="7" s="1"/>
  <c r="T44" i="7"/>
  <c r="M44" i="7" s="1"/>
  <c r="Q41" i="22"/>
  <c r="P40" i="22"/>
  <c r="BS41" i="7"/>
  <c r="BS42" i="7" s="1"/>
  <c r="D46" i="7"/>
  <c r="E45" i="7"/>
  <c r="F45" i="7" s="1"/>
  <c r="G45" i="7" s="1"/>
  <c r="C45" i="7"/>
  <c r="A35" i="27" l="1"/>
  <c r="C38" i="28"/>
  <c r="D37" i="28"/>
  <c r="B37" i="28"/>
  <c r="K34" i="27"/>
  <c r="F34" i="27"/>
  <c r="G34" i="27"/>
  <c r="I34" i="27"/>
  <c r="H34" i="27"/>
  <c r="L44" i="7"/>
  <c r="Q44" i="7" s="1"/>
  <c r="R44" i="7" s="1"/>
  <c r="AY44" i="7"/>
  <c r="BC44" i="7" s="1"/>
  <c r="BD44" i="7" s="1"/>
  <c r="V40" i="22"/>
  <c r="AZ44" i="7"/>
  <c r="W46" i="7"/>
  <c r="X45" i="7"/>
  <c r="Y45" i="7" s="1"/>
  <c r="Z45" i="7" s="1"/>
  <c r="V45" i="7"/>
  <c r="BI46" i="7"/>
  <c r="BJ45" i="7"/>
  <c r="BK45" i="7" s="1"/>
  <c r="BL45" i="7" s="1"/>
  <c r="BH45" i="7"/>
  <c r="CK43" i="7"/>
  <c r="CO43" i="7" s="1"/>
  <c r="CP43" i="7" s="1"/>
  <c r="AE43" i="7"/>
  <c r="AJ43" i="7" s="1"/>
  <c r="AK43" i="7" s="1"/>
  <c r="CA45" i="7"/>
  <c r="CC45" i="7"/>
  <c r="CD45" i="7" s="1"/>
  <c r="CE45" i="7" s="1"/>
  <c r="CB46" i="7"/>
  <c r="BY44" i="7"/>
  <c r="BR44" i="7" s="1"/>
  <c r="BF45" i="7"/>
  <c r="AY45" i="7" s="1"/>
  <c r="N43" i="7"/>
  <c r="W39" i="22"/>
  <c r="X39" i="22" s="1"/>
  <c r="BQ43" i="7"/>
  <c r="BV43" i="7" s="1"/>
  <c r="BW43" i="7" s="1"/>
  <c r="CR44" i="7"/>
  <c r="CK44" i="7" s="1"/>
  <c r="AP47" i="7"/>
  <c r="AQ46" i="7"/>
  <c r="AR46" i="7" s="1"/>
  <c r="AS46" i="7" s="1"/>
  <c r="AO46" i="7"/>
  <c r="Q42" i="22"/>
  <c r="P41" i="22"/>
  <c r="T45" i="7"/>
  <c r="M45" i="7" s="1"/>
  <c r="C46" i="7"/>
  <c r="D47" i="7"/>
  <c r="E46" i="7"/>
  <c r="F46" i="7" s="1"/>
  <c r="G46" i="7" s="1"/>
  <c r="CL43" i="7"/>
  <c r="AM44" i="7"/>
  <c r="AF44" i="7" s="1"/>
  <c r="A36" i="27" l="1"/>
  <c r="B38" i="28"/>
  <c r="C39" i="28"/>
  <c r="D38" i="28"/>
  <c r="K35" i="27"/>
  <c r="G35" i="27"/>
  <c r="I35" i="27"/>
  <c r="F35" i="27"/>
  <c r="H35" i="27"/>
  <c r="N44" i="7"/>
  <c r="AG43" i="7"/>
  <c r="AE44" i="7"/>
  <c r="BQ44" i="7"/>
  <c r="BV44" i="7" s="1"/>
  <c r="BW44" i="7" s="1"/>
  <c r="L45" i="7"/>
  <c r="Q45" i="7" s="1"/>
  <c r="R45" i="7" s="1"/>
  <c r="CJ44" i="7"/>
  <c r="CO44" i="7" s="1"/>
  <c r="CP44" i="7" s="1"/>
  <c r="BS43" i="7"/>
  <c r="AM45" i="7"/>
  <c r="AF45" i="7" s="1"/>
  <c r="AQ47" i="7"/>
  <c r="AR47" i="7" s="1"/>
  <c r="AS47" i="7" s="1"/>
  <c r="AO47" i="7"/>
  <c r="AP48" i="7"/>
  <c r="AX45" i="7"/>
  <c r="BC45" i="7" s="1"/>
  <c r="BD45" i="7" s="1"/>
  <c r="W47" i="7"/>
  <c r="X46" i="7"/>
  <c r="Y46" i="7" s="1"/>
  <c r="Z46" i="7" s="1"/>
  <c r="V46" i="7"/>
  <c r="CR45" i="7"/>
  <c r="CK45" i="7" s="1"/>
  <c r="V41" i="22"/>
  <c r="BF46" i="7"/>
  <c r="AX46" i="7" s="1"/>
  <c r="W40" i="22"/>
  <c r="X40" i="22" s="1"/>
  <c r="T46" i="7"/>
  <c r="L46" i="7" s="1"/>
  <c r="D48" i="7"/>
  <c r="C47" i="7"/>
  <c r="E47" i="7"/>
  <c r="F47" i="7" s="1"/>
  <c r="G47" i="7" s="1"/>
  <c r="Q43" i="22"/>
  <c r="P42" i="22"/>
  <c r="BY45" i="7"/>
  <c r="BQ45" i="7" s="1"/>
  <c r="BJ46" i="7"/>
  <c r="BK46" i="7" s="1"/>
  <c r="BL46" i="7" s="1"/>
  <c r="BI47" i="7"/>
  <c r="BH46" i="7"/>
  <c r="CC46" i="7"/>
  <c r="CD46" i="7" s="1"/>
  <c r="CE46" i="7" s="1"/>
  <c r="CA46" i="7"/>
  <c r="CB47" i="7"/>
  <c r="A37" i="27" l="1"/>
  <c r="C40" i="28"/>
  <c r="D39" i="28"/>
  <c r="B39" i="28"/>
  <c r="K36" i="27"/>
  <c r="F36" i="27"/>
  <c r="I36" i="27"/>
  <c r="H36" i="27"/>
  <c r="G36" i="27"/>
  <c r="AG44" i="7"/>
  <c r="N45" i="7"/>
  <c r="N46" i="7" s="1"/>
  <c r="M46" i="7"/>
  <c r="Q46" i="7" s="1"/>
  <c r="R46" i="7" s="1"/>
  <c r="BS44" i="7"/>
  <c r="BS45" i="7" s="1"/>
  <c r="AJ44" i="7"/>
  <c r="AK44" i="7" s="1"/>
  <c r="CL44" i="7"/>
  <c r="AY46" i="7"/>
  <c r="BC46" i="7" s="1"/>
  <c r="BD46" i="7" s="1"/>
  <c r="AZ45" i="7"/>
  <c r="AZ46" i="7" s="1"/>
  <c r="BR45" i="7"/>
  <c r="BV45" i="7" s="1"/>
  <c r="BW45" i="7" s="1"/>
  <c r="CJ45" i="7"/>
  <c r="CO45" i="7" s="1"/>
  <c r="CP45" i="7" s="1"/>
  <c r="BF47" i="7"/>
  <c r="AX47" i="7" s="1"/>
  <c r="AE45" i="7"/>
  <c r="AJ45" i="7" s="1"/>
  <c r="AM46" i="7"/>
  <c r="AE46" i="7" s="1"/>
  <c r="T47" i="7"/>
  <c r="M47" i="7" s="1"/>
  <c r="CA47" i="7"/>
  <c r="CB48" i="7"/>
  <c r="CC47" i="7"/>
  <c r="CD47" i="7" s="1"/>
  <c r="CE47" i="7" s="1"/>
  <c r="V42" i="22"/>
  <c r="W41" i="22"/>
  <c r="X41" i="22" s="1"/>
  <c r="V47" i="7"/>
  <c r="W48" i="7"/>
  <c r="X47" i="7"/>
  <c r="Y47" i="7" s="1"/>
  <c r="Z47" i="7" s="1"/>
  <c r="D49" i="7"/>
  <c r="E48" i="7"/>
  <c r="F48" i="7" s="1"/>
  <c r="G48" i="7" s="1"/>
  <c r="C48" i="7"/>
  <c r="CR46" i="7"/>
  <c r="CJ46" i="7" s="1"/>
  <c r="AO48" i="7"/>
  <c r="AP49" i="7"/>
  <c r="AQ48" i="7"/>
  <c r="AR48" i="7" s="1"/>
  <c r="AS48" i="7" s="1"/>
  <c r="BY46" i="7"/>
  <c r="BQ46" i="7" s="1"/>
  <c r="BJ47" i="7"/>
  <c r="BK47" i="7" s="1"/>
  <c r="BL47" i="7" s="1"/>
  <c r="BI48" i="7"/>
  <c r="BH47" i="7"/>
  <c r="Q44" i="22"/>
  <c r="P43" i="22"/>
  <c r="A38" i="27" l="1"/>
  <c r="D40" i="28"/>
  <c r="B40" i="28"/>
  <c r="C41" i="28"/>
  <c r="I37" i="27"/>
  <c r="K37" i="27"/>
  <c r="G37" i="27"/>
  <c r="F37" i="27"/>
  <c r="H37" i="27"/>
  <c r="AK45" i="7"/>
  <c r="CK46" i="7"/>
  <c r="CO46" i="7" s="1"/>
  <c r="CP46" i="7" s="1"/>
  <c r="L47" i="7"/>
  <c r="Q47" i="7" s="1"/>
  <c r="R47" i="7" s="1"/>
  <c r="CL45" i="7"/>
  <c r="CL46" i="7" s="1"/>
  <c r="AF46" i="7"/>
  <c r="AJ46" i="7" s="1"/>
  <c r="AK46" i="7" s="1"/>
  <c r="AM47" i="7"/>
  <c r="AE47" i="7" s="1"/>
  <c r="CA48" i="7"/>
  <c r="CB49" i="7"/>
  <c r="CC48" i="7"/>
  <c r="CD48" i="7" s="1"/>
  <c r="CE48" i="7" s="1"/>
  <c r="CR47" i="7"/>
  <c r="CK47" i="7" s="1"/>
  <c r="X48" i="7"/>
  <c r="Y48" i="7" s="1"/>
  <c r="Z48" i="7" s="1"/>
  <c r="V48" i="7"/>
  <c r="W49" i="7"/>
  <c r="BS46" i="7"/>
  <c r="AG45" i="7"/>
  <c r="AG46" i="7" s="1"/>
  <c r="Q45" i="22"/>
  <c r="P44" i="22"/>
  <c r="V43" i="22"/>
  <c r="BF48" i="7"/>
  <c r="AX48" i="7" s="1"/>
  <c r="AY47" i="7"/>
  <c r="BC47" i="7" s="1"/>
  <c r="BD47" i="7" s="1"/>
  <c r="BR46" i="7"/>
  <c r="BV46" i="7" s="1"/>
  <c r="BW46" i="7" s="1"/>
  <c r="BJ48" i="7"/>
  <c r="BK48" i="7" s="1"/>
  <c r="BL48" i="7" s="1"/>
  <c r="BH48" i="7"/>
  <c r="BI49" i="7"/>
  <c r="BY47" i="7"/>
  <c r="BQ47" i="7" s="1"/>
  <c r="W42" i="22"/>
  <c r="X42" i="22" s="1"/>
  <c r="T48" i="7"/>
  <c r="L48" i="7" s="1"/>
  <c r="AQ49" i="7"/>
  <c r="AR49" i="7" s="1"/>
  <c r="AS49" i="7" s="1"/>
  <c r="AO49" i="7"/>
  <c r="AP50" i="7"/>
  <c r="D50" i="7"/>
  <c r="E49" i="7"/>
  <c r="F49" i="7" s="1"/>
  <c r="G49" i="7" s="1"/>
  <c r="C49" i="7"/>
  <c r="AZ47" i="7"/>
  <c r="A39" i="27" l="1"/>
  <c r="B41" i="28"/>
  <c r="C42" i="28"/>
  <c r="D41" i="28"/>
  <c r="K38" i="27"/>
  <c r="I38" i="27"/>
  <c r="F38" i="27"/>
  <c r="H38" i="27"/>
  <c r="G38" i="27"/>
  <c r="N47" i="7"/>
  <c r="N48" i="7" s="1"/>
  <c r="BR47" i="7"/>
  <c r="BV47" i="7" s="1"/>
  <c r="BW47" i="7" s="1"/>
  <c r="M48" i="7"/>
  <c r="Q48" i="7" s="1"/>
  <c r="R48" i="7" s="1"/>
  <c r="CJ47" i="7"/>
  <c r="CO47" i="7" s="1"/>
  <c r="CP47" i="7" s="1"/>
  <c r="AY48" i="7"/>
  <c r="BC48" i="7" s="1"/>
  <c r="BD48" i="7" s="1"/>
  <c r="AF47" i="7"/>
  <c r="AJ47" i="7" s="1"/>
  <c r="AK47" i="7" s="1"/>
  <c r="Q46" i="22"/>
  <c r="P45" i="22"/>
  <c r="T49" i="7"/>
  <c r="L49" i="7" s="1"/>
  <c r="AG47" i="7"/>
  <c r="BY48" i="7"/>
  <c r="BR48" i="7" s="1"/>
  <c r="W43" i="22"/>
  <c r="X43" i="22" s="1"/>
  <c r="BS47" i="7"/>
  <c r="CB50" i="7"/>
  <c r="CA49" i="7"/>
  <c r="CC49" i="7"/>
  <c r="CD49" i="7" s="1"/>
  <c r="CE49" i="7" s="1"/>
  <c r="CR48" i="7"/>
  <c r="CJ48" i="7" s="1"/>
  <c r="AQ50" i="7"/>
  <c r="AR50" i="7" s="1"/>
  <c r="AS50" i="7" s="1"/>
  <c r="AP51" i="7"/>
  <c r="AO50" i="7"/>
  <c r="X49" i="7"/>
  <c r="Y49" i="7" s="1"/>
  <c r="Z49" i="7" s="1"/>
  <c r="V49" i="7"/>
  <c r="W50" i="7"/>
  <c r="E50" i="7"/>
  <c r="F50" i="7" s="1"/>
  <c r="G50" i="7" s="1"/>
  <c r="C50" i="7"/>
  <c r="D51" i="7"/>
  <c r="BF49" i="7"/>
  <c r="AY49" i="7" s="1"/>
  <c r="V44" i="22"/>
  <c r="AM48" i="7"/>
  <c r="AF48" i="7" s="1"/>
  <c r="BJ49" i="7"/>
  <c r="BK49" i="7" s="1"/>
  <c r="BL49" i="7" s="1"/>
  <c r="BI50" i="7"/>
  <c r="BH49" i="7"/>
  <c r="AZ48" i="7"/>
  <c r="A40" i="27" l="1"/>
  <c r="C43" i="28"/>
  <c r="D42" i="28"/>
  <c r="B42" i="28"/>
  <c r="K39" i="27"/>
  <c r="G39" i="27"/>
  <c r="F39" i="27"/>
  <c r="I39" i="27"/>
  <c r="H39" i="27"/>
  <c r="AE48" i="7"/>
  <c r="AJ48" i="7" s="1"/>
  <c r="AK48" i="7" s="1"/>
  <c r="CK48" i="7"/>
  <c r="CO48" i="7" s="1"/>
  <c r="CP48" i="7" s="1"/>
  <c r="CL47" i="7"/>
  <c r="CL48" i="7" s="1"/>
  <c r="AX49" i="7"/>
  <c r="BC49" i="7" s="1"/>
  <c r="BD49" i="7" s="1"/>
  <c r="AO51" i="7"/>
  <c r="AP52" i="7"/>
  <c r="AQ51" i="7"/>
  <c r="AR51" i="7" s="1"/>
  <c r="AS51" i="7" s="1"/>
  <c r="CC50" i="7"/>
  <c r="CD50" i="7" s="1"/>
  <c r="CE50" i="7" s="1"/>
  <c r="CA50" i="7"/>
  <c r="CB51" i="7"/>
  <c r="M49" i="7"/>
  <c r="Q49" i="7" s="1"/>
  <c r="R49" i="7" s="1"/>
  <c r="BF50" i="7"/>
  <c r="AY50" i="7" s="1"/>
  <c r="E51" i="7"/>
  <c r="F51" i="7" s="1"/>
  <c r="G51" i="7" s="1"/>
  <c r="C51" i="7"/>
  <c r="D52" i="7"/>
  <c r="W44" i="22"/>
  <c r="X44" i="22" s="1"/>
  <c r="T50" i="7"/>
  <c r="M50" i="7" s="1"/>
  <c r="V45" i="22"/>
  <c r="BQ48" i="7"/>
  <c r="BV48" i="7" s="1"/>
  <c r="BW48" i="7" s="1"/>
  <c r="BI51" i="7"/>
  <c r="BJ50" i="7"/>
  <c r="BK50" i="7" s="1"/>
  <c r="BL50" i="7" s="1"/>
  <c r="BH50" i="7"/>
  <c r="AM49" i="7"/>
  <c r="AF49" i="7" s="1"/>
  <c r="CR49" i="7"/>
  <c r="CJ49" i="7" s="1"/>
  <c r="N49" i="7"/>
  <c r="W51" i="7"/>
  <c r="X50" i="7"/>
  <c r="Y50" i="7" s="1"/>
  <c r="Z50" i="7" s="1"/>
  <c r="V50" i="7"/>
  <c r="BY49" i="7"/>
  <c r="BR49" i="7" s="1"/>
  <c r="Q47" i="22"/>
  <c r="P46" i="22"/>
  <c r="AG48" i="7" l="1"/>
  <c r="A41" i="27"/>
  <c r="D43" i="28"/>
  <c r="B43" i="28"/>
  <c r="C44" i="28"/>
  <c r="K40" i="27"/>
  <c r="F40" i="27"/>
  <c r="H40" i="27"/>
  <c r="I40" i="27"/>
  <c r="G40" i="27"/>
  <c r="BQ49" i="7"/>
  <c r="BV49" i="7" s="1"/>
  <c r="BW49" i="7" s="1"/>
  <c r="CK49" i="7"/>
  <c r="CO49" i="7" s="1"/>
  <c r="CP49" i="7" s="1"/>
  <c r="AE49" i="7"/>
  <c r="AJ49" i="7" s="1"/>
  <c r="AK49" i="7" s="1"/>
  <c r="AZ49" i="7"/>
  <c r="AM50" i="7"/>
  <c r="AF50" i="7" s="1"/>
  <c r="CL49" i="7"/>
  <c r="C52" i="7"/>
  <c r="D53" i="7"/>
  <c r="E52" i="7"/>
  <c r="F52" i="7" s="1"/>
  <c r="G52" i="7" s="1"/>
  <c r="CC51" i="7"/>
  <c r="CD51" i="7" s="1"/>
  <c r="CE51" i="7" s="1"/>
  <c r="CB52" i="7"/>
  <c r="CA51" i="7"/>
  <c r="Q48" i="22"/>
  <c r="P47" i="22"/>
  <c r="V51" i="7"/>
  <c r="W52" i="7"/>
  <c r="X51" i="7"/>
  <c r="Y51" i="7" s="1"/>
  <c r="Z51" i="7" s="1"/>
  <c r="BY50" i="7"/>
  <c r="BR50" i="7" s="1"/>
  <c r="T51" i="7"/>
  <c r="M51" i="7" s="1"/>
  <c r="CR50" i="7"/>
  <c r="CK50" i="7" s="1"/>
  <c r="BH51" i="7"/>
  <c r="BI52" i="7"/>
  <c r="BJ51" i="7"/>
  <c r="BK51" i="7" s="1"/>
  <c r="BL51" i="7" s="1"/>
  <c r="L50" i="7"/>
  <c r="N50" i="7" s="1"/>
  <c r="BS48" i="7"/>
  <c r="BF51" i="7"/>
  <c r="AY51" i="7" s="1"/>
  <c r="AX50" i="7"/>
  <c r="AQ52" i="7"/>
  <c r="AR52" i="7" s="1"/>
  <c r="AS52" i="7" s="1"/>
  <c r="AO52" i="7"/>
  <c r="AP53" i="7"/>
  <c r="V46" i="22"/>
  <c r="W45" i="22"/>
  <c r="X45" i="22" s="1"/>
  <c r="BS49" i="7" l="1"/>
  <c r="A42" i="27"/>
  <c r="C45" i="28"/>
  <c r="D44" i="28"/>
  <c r="B44" i="28"/>
  <c r="K41" i="27"/>
  <c r="F41" i="27"/>
  <c r="I41" i="27"/>
  <c r="H41" i="27"/>
  <c r="G41" i="27"/>
  <c r="AG49" i="7"/>
  <c r="BQ50" i="7"/>
  <c r="BT50" i="7" s="1"/>
  <c r="L51" i="7"/>
  <c r="Q51" i="7" s="1"/>
  <c r="AX51" i="7"/>
  <c r="BC51" i="7" s="1"/>
  <c r="Q49" i="22"/>
  <c r="P48" i="22"/>
  <c r="CJ50" i="7"/>
  <c r="CL50" i="7" s="1"/>
  <c r="AQ53" i="7"/>
  <c r="AR53" i="7" s="1"/>
  <c r="AS53" i="7" s="1"/>
  <c r="AO53" i="7"/>
  <c r="AP54" i="7"/>
  <c r="AM51" i="7"/>
  <c r="AF51" i="7" s="1"/>
  <c r="CB53" i="7"/>
  <c r="CC52" i="7"/>
  <c r="CD52" i="7" s="1"/>
  <c r="CE52" i="7" s="1"/>
  <c r="CA52" i="7"/>
  <c r="AE50" i="7"/>
  <c r="AJ50" i="7" s="1"/>
  <c r="AK50" i="7" s="1"/>
  <c r="W46" i="22"/>
  <c r="X46" i="22" s="1"/>
  <c r="H5" i="7"/>
  <c r="O50" i="7"/>
  <c r="W53" i="7"/>
  <c r="X52" i="7"/>
  <c r="Y52" i="7" s="1"/>
  <c r="Z52" i="7" s="1"/>
  <c r="V52" i="7"/>
  <c r="CR51" i="7"/>
  <c r="CK51" i="7" s="1"/>
  <c r="BY51" i="7"/>
  <c r="BQ51" i="7" s="1"/>
  <c r="T52" i="7"/>
  <c r="L52" i="7" s="1"/>
  <c r="Q50" i="7"/>
  <c r="R50" i="7" s="1"/>
  <c r="BF52" i="7"/>
  <c r="AX52" i="7" s="1"/>
  <c r="AT5" i="7"/>
  <c r="O16" i="26" s="1"/>
  <c r="BA50" i="7"/>
  <c r="AZ50" i="7"/>
  <c r="BI53" i="7"/>
  <c r="BJ52" i="7"/>
  <c r="BK52" i="7" s="1"/>
  <c r="BL52" i="7" s="1"/>
  <c r="BH52" i="7"/>
  <c r="V47" i="22"/>
  <c r="C53" i="7"/>
  <c r="D54" i="7"/>
  <c r="E53" i="7"/>
  <c r="F53" i="7" s="1"/>
  <c r="G53" i="7" s="1"/>
  <c r="BC50" i="7"/>
  <c r="BD50" i="7" s="1"/>
  <c r="BV50" i="7" l="1"/>
  <c r="BW50" i="7" s="1"/>
  <c r="A43" i="27"/>
  <c r="C46" i="28"/>
  <c r="D45" i="28"/>
  <c r="B45" i="28"/>
  <c r="K42" i="27"/>
  <c r="H42" i="27"/>
  <c r="I42" i="27"/>
  <c r="G42" i="27"/>
  <c r="F42" i="27"/>
  <c r="BS50" i="7"/>
  <c r="BS51" i="7" s="1"/>
  <c r="AZ51" i="7"/>
  <c r="AZ52" i="7" s="1"/>
  <c r="BM5" i="7"/>
  <c r="O17" i="26" s="1"/>
  <c r="CJ51" i="7"/>
  <c r="CO51" i="7" s="1"/>
  <c r="R51" i="7"/>
  <c r="AY52" i="7"/>
  <c r="BC52" i="7" s="1"/>
  <c r="BD52" i="7" s="1"/>
  <c r="N51" i="7"/>
  <c r="N52" i="7" s="1"/>
  <c r="AE51" i="7"/>
  <c r="AJ51" i="7" s="1"/>
  <c r="AK51" i="7" s="1"/>
  <c r="BD51" i="7"/>
  <c r="M52" i="7"/>
  <c r="Q52" i="7" s="1"/>
  <c r="R52" i="7" s="1"/>
  <c r="W47" i="22"/>
  <c r="X47" i="22" s="1"/>
  <c r="CR52" i="7"/>
  <c r="CK52" i="7" s="1"/>
  <c r="BR51" i="7"/>
  <c r="BV51" i="7" s="1"/>
  <c r="CB54" i="7"/>
  <c r="CC53" i="7"/>
  <c r="CD53" i="7" s="1"/>
  <c r="CE53" i="7" s="1"/>
  <c r="CA53" i="7"/>
  <c r="BF53" i="7"/>
  <c r="AX53" i="7" s="1"/>
  <c r="AG50" i="7"/>
  <c r="BY52" i="7"/>
  <c r="BR52" i="7" s="1"/>
  <c r="CF5" i="7"/>
  <c r="O18" i="26" s="1"/>
  <c r="CM50" i="7"/>
  <c r="X53" i="7"/>
  <c r="Y53" i="7" s="1"/>
  <c r="Z53" i="7" s="1"/>
  <c r="V53" i="7"/>
  <c r="W54" i="7"/>
  <c r="BH53" i="7"/>
  <c r="BJ53" i="7"/>
  <c r="BK53" i="7" s="1"/>
  <c r="BL53" i="7" s="1"/>
  <c r="BI54" i="7"/>
  <c r="V48" i="22"/>
  <c r="T53" i="7"/>
  <c r="M53" i="7" s="1"/>
  <c r="D55" i="7"/>
  <c r="E54" i="7"/>
  <c r="F54" i="7" s="1"/>
  <c r="G54" i="7" s="1"/>
  <c r="C54" i="7"/>
  <c r="AA5" i="7"/>
  <c r="O15" i="26" s="1"/>
  <c r="AH50" i="7"/>
  <c r="AP55" i="7"/>
  <c r="AO54" i="7"/>
  <c r="AQ54" i="7"/>
  <c r="AR54" i="7" s="1"/>
  <c r="AS54" i="7" s="1"/>
  <c r="CO50" i="7"/>
  <c r="CP50" i="7" s="1"/>
  <c r="AM52" i="7"/>
  <c r="AE52" i="7" s="1"/>
  <c r="Q50" i="22"/>
  <c r="P49" i="22"/>
  <c r="BW51" i="7" l="1"/>
  <c r="A44" i="27"/>
  <c r="B46" i="28"/>
  <c r="C47" i="28"/>
  <c r="D46" i="28"/>
  <c r="K43" i="27"/>
  <c r="H43" i="27"/>
  <c r="I43" i="27"/>
  <c r="G43" i="27"/>
  <c r="F43" i="27"/>
  <c r="BQ52" i="7"/>
  <c r="BV52" i="7" s="1"/>
  <c r="BW52" i="7" s="1"/>
  <c r="CL51" i="7"/>
  <c r="AG51" i="7"/>
  <c r="AG52" i="7" s="1"/>
  <c r="L53" i="7"/>
  <c r="Q53" i="7" s="1"/>
  <c r="R53" i="7" s="1"/>
  <c r="AZ53" i="7"/>
  <c r="BH54" i="7"/>
  <c r="BI55" i="7"/>
  <c r="BJ54" i="7"/>
  <c r="BK54" i="7" s="1"/>
  <c r="BL54" i="7" s="1"/>
  <c r="AY53" i="7"/>
  <c r="BC53" i="7" s="1"/>
  <c r="BD53" i="7" s="1"/>
  <c r="BY53" i="7"/>
  <c r="BQ53" i="7" s="1"/>
  <c r="Q51" i="22"/>
  <c r="P50" i="22"/>
  <c r="CR53" i="7"/>
  <c r="CJ53" i="7" s="1"/>
  <c r="CP51" i="7"/>
  <c r="W55" i="7"/>
  <c r="X54" i="7"/>
  <c r="Y54" i="7" s="1"/>
  <c r="Z54" i="7" s="1"/>
  <c r="V54" i="7"/>
  <c r="CA54" i="7"/>
  <c r="CC54" i="7"/>
  <c r="CD54" i="7" s="1"/>
  <c r="CE54" i="7" s="1"/>
  <c r="CB55" i="7"/>
  <c r="AF52" i="7"/>
  <c r="AJ52" i="7" s="1"/>
  <c r="AK52" i="7" s="1"/>
  <c r="AP56" i="7"/>
  <c r="AQ55" i="7"/>
  <c r="AR55" i="7" s="1"/>
  <c r="AS55" i="7" s="1"/>
  <c r="AO55" i="7"/>
  <c r="AM53" i="7"/>
  <c r="AE53" i="7" s="1"/>
  <c r="CJ52" i="7"/>
  <c r="CO52" i="7" s="1"/>
  <c r="CP52" i="7" s="1"/>
  <c r="BF54" i="7"/>
  <c r="AY54" i="7" s="1"/>
  <c r="T54" i="7"/>
  <c r="M54" i="7" s="1"/>
  <c r="V49" i="22"/>
  <c r="E55" i="7"/>
  <c r="F55" i="7" s="1"/>
  <c r="G55" i="7" s="1"/>
  <c r="C55" i="7"/>
  <c r="D56" i="7"/>
  <c r="W48" i="22"/>
  <c r="X48" i="22" s="1"/>
  <c r="A45" i="27" l="1"/>
  <c r="C48" i="28"/>
  <c r="D47" i="28"/>
  <c r="B47" i="28"/>
  <c r="K44" i="27"/>
  <c r="H44" i="27"/>
  <c r="F44" i="27"/>
  <c r="G44" i="27"/>
  <c r="I44" i="27"/>
  <c r="BS52" i="7"/>
  <c r="BS53" i="7" s="1"/>
  <c r="N53" i="7"/>
  <c r="AF53" i="7"/>
  <c r="AJ53" i="7" s="1"/>
  <c r="AK53" i="7" s="1"/>
  <c r="CK53" i="7"/>
  <c r="CO53" i="7" s="1"/>
  <c r="CP53" i="7" s="1"/>
  <c r="BR53" i="7"/>
  <c r="BV53" i="7" s="1"/>
  <c r="BW53" i="7" s="1"/>
  <c r="W56" i="7"/>
  <c r="X55" i="7"/>
  <c r="Y55" i="7" s="1"/>
  <c r="Z55" i="7" s="1"/>
  <c r="V55" i="7"/>
  <c r="BJ55" i="7"/>
  <c r="BK55" i="7" s="1"/>
  <c r="BL55" i="7" s="1"/>
  <c r="BI56" i="7"/>
  <c r="BH55" i="7"/>
  <c r="AM54" i="7"/>
  <c r="AF54" i="7" s="1"/>
  <c r="AG53" i="7"/>
  <c r="Q52" i="22"/>
  <c r="P51" i="22"/>
  <c r="L54" i="7"/>
  <c r="AX54" i="7"/>
  <c r="BC54" i="7" s="1"/>
  <c r="BD54" i="7" s="1"/>
  <c r="CC55" i="7"/>
  <c r="CD55" i="7" s="1"/>
  <c r="CE55" i="7" s="1"/>
  <c r="CB56" i="7"/>
  <c r="CA55" i="7"/>
  <c r="BY54" i="7"/>
  <c r="BQ54" i="7" s="1"/>
  <c r="D57" i="7"/>
  <c r="E56" i="7"/>
  <c r="F56" i="7" s="1"/>
  <c r="G56" i="7" s="1"/>
  <c r="C56" i="7"/>
  <c r="Y48" i="22" s="1"/>
  <c r="CR54" i="7"/>
  <c r="CJ54" i="7" s="1"/>
  <c r="CL52" i="7"/>
  <c r="CL53" i="7" s="1"/>
  <c r="T55" i="7"/>
  <c r="M55" i="7" s="1"/>
  <c r="BF55" i="7"/>
  <c r="AX55" i="7" s="1"/>
  <c r="W49" i="22"/>
  <c r="X49" i="22" s="1"/>
  <c r="AQ56" i="7"/>
  <c r="AR56" i="7" s="1"/>
  <c r="AS56" i="7" s="1"/>
  <c r="AO56" i="7"/>
  <c r="AP57" i="7"/>
  <c r="V50" i="22"/>
  <c r="Y49" i="22" l="1"/>
  <c r="Y45" i="22"/>
  <c r="Y46" i="22"/>
  <c r="Y47" i="22"/>
  <c r="A46" i="27"/>
  <c r="D48" i="28"/>
  <c r="B48" i="28"/>
  <c r="C49" i="28"/>
  <c r="K45" i="27"/>
  <c r="I45" i="27"/>
  <c r="H45" i="27"/>
  <c r="G45" i="27"/>
  <c r="F45" i="27"/>
  <c r="AE54" i="7"/>
  <c r="AG54" i="7" s="1"/>
  <c r="BR54" i="7"/>
  <c r="BV54" i="7" s="1"/>
  <c r="BW54" i="7" s="1"/>
  <c r="AY55" i="7"/>
  <c r="BC55" i="7" s="1"/>
  <c r="BD55" i="7" s="1"/>
  <c r="C57" i="7"/>
  <c r="D58" i="7"/>
  <c r="E57" i="7"/>
  <c r="F57" i="7" s="1"/>
  <c r="G57" i="7" s="1"/>
  <c r="W50" i="22"/>
  <c r="X50" i="22" s="1"/>
  <c r="CK54" i="7"/>
  <c r="CO54" i="7" s="1"/>
  <c r="CP54" i="7" s="1"/>
  <c r="T56" i="7"/>
  <c r="L56" i="7" s="1"/>
  <c r="CR55" i="7"/>
  <c r="CK55" i="7" s="1"/>
  <c r="Q53" i="22"/>
  <c r="P52" i="22"/>
  <c r="BF56" i="7"/>
  <c r="AY56" i="7" s="1"/>
  <c r="L55" i="7"/>
  <c r="AZ54" i="7"/>
  <c r="AZ55" i="7" s="1"/>
  <c r="AM55" i="7"/>
  <c r="AF55" i="7" s="1"/>
  <c r="BS54" i="7"/>
  <c r="N54" i="7"/>
  <c r="V51" i="22"/>
  <c r="AQ57" i="7"/>
  <c r="AR57" i="7" s="1"/>
  <c r="AS57" i="7" s="1"/>
  <c r="AO57" i="7"/>
  <c r="AP58" i="7"/>
  <c r="BI57" i="7"/>
  <c r="BJ56" i="7"/>
  <c r="BK56" i="7" s="1"/>
  <c r="BL56" i="7" s="1"/>
  <c r="BH56" i="7"/>
  <c r="V56" i="7"/>
  <c r="W57" i="7"/>
  <c r="X56" i="7"/>
  <c r="Y56" i="7" s="1"/>
  <c r="Z56" i="7" s="1"/>
  <c r="CL54" i="7"/>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CA56" i="7"/>
  <c r="CB57" i="7"/>
  <c r="CC56" i="7"/>
  <c r="CD56" i="7" s="1"/>
  <c r="CE56" i="7" s="1"/>
  <c r="BY55" i="7"/>
  <c r="BR55" i="7" s="1"/>
  <c r="Q54" i="7"/>
  <c r="R54" i="7" s="1"/>
  <c r="Y50" i="22" l="1"/>
  <c r="Q55" i="7"/>
  <c r="R55" i="7" s="1"/>
  <c r="A47" i="27"/>
  <c r="B49" i="28"/>
  <c r="C50" i="28"/>
  <c r="D49" i="28"/>
  <c r="K46" i="27"/>
  <c r="G46" i="27"/>
  <c r="I46" i="27"/>
  <c r="F46" i="27"/>
  <c r="H46" i="27"/>
  <c r="AJ54" i="7"/>
  <c r="AK54" i="7" s="1"/>
  <c r="CJ55" i="7"/>
  <c r="CO55" i="7" s="1"/>
  <c r="CP55" i="7" s="1"/>
  <c r="AX56" i="7"/>
  <c r="BC56" i="7" s="1"/>
  <c r="BD56" i="7" s="1"/>
  <c r="BY56" i="7"/>
  <c r="BR56" i="7" s="1"/>
  <c r="AM56" i="7"/>
  <c r="AF56" i="7" s="1"/>
  <c r="BF57" i="7"/>
  <c r="AY57" i="7" s="1"/>
  <c r="AE55" i="7"/>
  <c r="AG55" i="7" s="1"/>
  <c r="D59" i="7"/>
  <c r="E58" i="7"/>
  <c r="F58" i="7" s="1"/>
  <c r="G58" i="7" s="1"/>
  <c r="C58" i="7"/>
  <c r="CR56" i="7"/>
  <c r="CJ56" i="7" s="1"/>
  <c r="CC57" i="7"/>
  <c r="CD57" i="7" s="1"/>
  <c r="CE57" i="7" s="1"/>
  <c r="CB58" i="7"/>
  <c r="CA57" i="7"/>
  <c r="X57" i="7"/>
  <c r="Y57" i="7" s="1"/>
  <c r="Z57" i="7" s="1"/>
  <c r="W58" i="7"/>
  <c r="V57" i="7"/>
  <c r="W51" i="22"/>
  <c r="X51" i="22" s="1"/>
  <c r="M56" i="7"/>
  <c r="Q56" i="7" s="1"/>
  <c r="BQ55" i="7"/>
  <c r="BV55" i="7" s="1"/>
  <c r="BW55" i="7" s="1"/>
  <c r="T57" i="7"/>
  <c r="L57" i="7" s="1"/>
  <c r="V52" i="22"/>
  <c r="BI58" i="7"/>
  <c r="BH57" i="7"/>
  <c r="BJ57" i="7"/>
  <c r="BK57" i="7" s="1"/>
  <c r="BL57" i="7" s="1"/>
  <c r="AO58" i="7"/>
  <c r="AP59" i="7"/>
  <c r="AQ58" i="7"/>
  <c r="AR58" i="7" s="1"/>
  <c r="AS58" i="7" s="1"/>
  <c r="N55" i="7"/>
  <c r="N56" i="7" s="1"/>
  <c r="Q54" i="22"/>
  <c r="P53" i="22"/>
  <c r="R56" i="7" l="1"/>
  <c r="CL55" i="7"/>
  <c r="CL56" i="7" s="1"/>
  <c r="A48" i="27"/>
  <c r="C51" i="28"/>
  <c r="B50" i="28"/>
  <c r="D50" i="28"/>
  <c r="K47" i="27"/>
  <c r="H47" i="27"/>
  <c r="I47" i="27"/>
  <c r="G47" i="27"/>
  <c r="F47" i="27"/>
  <c r="AZ56" i="7"/>
  <c r="CK56" i="7"/>
  <c r="CO56" i="7" s="1"/>
  <c r="CP56" i="7" s="1"/>
  <c r="N57" i="7"/>
  <c r="AX57" i="7"/>
  <c r="M57" i="7"/>
  <c r="Q57" i="7" s="1"/>
  <c r="R57" i="7" s="1"/>
  <c r="AE56" i="7"/>
  <c r="AJ56" i="7" s="1"/>
  <c r="Q55" i="22"/>
  <c r="P54" i="22"/>
  <c r="CR57" i="7"/>
  <c r="CK57" i="7" s="1"/>
  <c r="C59" i="7"/>
  <c r="E59" i="7"/>
  <c r="F59" i="7" s="1"/>
  <c r="G59" i="7" s="1"/>
  <c r="D60" i="7"/>
  <c r="BS55" i="7"/>
  <c r="BH58" i="7"/>
  <c r="BI59" i="7"/>
  <c r="BJ58" i="7"/>
  <c r="BK58" i="7" s="1"/>
  <c r="BL58" i="7" s="1"/>
  <c r="CB59" i="7"/>
  <c r="CC58" i="7"/>
  <c r="CD58" i="7" s="1"/>
  <c r="CE58" i="7" s="1"/>
  <c r="CA58" i="7"/>
  <c r="W52" i="22"/>
  <c r="X52" i="22" s="1"/>
  <c r="BQ56" i="7"/>
  <c r="BV56" i="7" s="1"/>
  <c r="BW56" i="7" s="1"/>
  <c r="T58" i="7"/>
  <c r="M58" i="7" s="1"/>
  <c r="V53" i="22"/>
  <c r="BF58" i="7"/>
  <c r="AX58" i="7" s="1"/>
  <c r="X58" i="7"/>
  <c r="Y58" i="7" s="1"/>
  <c r="Z58" i="7" s="1"/>
  <c r="V58" i="7"/>
  <c r="W59" i="7"/>
  <c r="AJ55" i="7"/>
  <c r="AK55" i="7" s="1"/>
  <c r="BY57" i="7"/>
  <c r="BR57" i="7" s="1"/>
  <c r="AO59" i="7"/>
  <c r="AP60" i="7"/>
  <c r="AQ59" i="7"/>
  <c r="AR59" i="7" s="1"/>
  <c r="AS59" i="7" s="1"/>
  <c r="AM57" i="7"/>
  <c r="AE57" i="7" s="1"/>
  <c r="AZ57" i="7" l="1"/>
  <c r="AZ58" i="7" s="1"/>
  <c r="A49" i="27"/>
  <c r="D51" i="28"/>
  <c r="B51" i="28"/>
  <c r="C52" i="28"/>
  <c r="K48" i="27"/>
  <c r="G48" i="27"/>
  <c r="I48" i="27"/>
  <c r="F48" i="27"/>
  <c r="H48" i="27"/>
  <c r="AF57" i="7"/>
  <c r="AJ57" i="7" s="1"/>
  <c r="AK57" i="7" s="1"/>
  <c r="L58" i="7"/>
  <c r="N58" i="7" s="1"/>
  <c r="AG56" i="7"/>
  <c r="AG57" i="7" s="1"/>
  <c r="BC57" i="7"/>
  <c r="BD57" i="7" s="1"/>
  <c r="AY58" i="7"/>
  <c r="BC58" i="7" s="1"/>
  <c r="CJ57" i="7"/>
  <c r="CO57" i="7" s="1"/>
  <c r="CP57" i="7" s="1"/>
  <c r="BH59" i="7"/>
  <c r="BJ59" i="7"/>
  <c r="BK59" i="7" s="1"/>
  <c r="BL59" i="7" s="1"/>
  <c r="BI60" i="7"/>
  <c r="BF59" i="7"/>
  <c r="AY59" i="7" s="1"/>
  <c r="BS56" i="7"/>
  <c r="W60" i="7"/>
  <c r="X59" i="7"/>
  <c r="Y59" i="7" s="1"/>
  <c r="Z59" i="7" s="1"/>
  <c r="V59" i="7"/>
  <c r="V54" i="22"/>
  <c r="AP61" i="7"/>
  <c r="AQ60" i="7"/>
  <c r="AR60" i="7" s="1"/>
  <c r="AS60" i="7" s="1"/>
  <c r="AO60" i="7"/>
  <c r="AM58" i="7"/>
  <c r="AE58" i="7" s="1"/>
  <c r="E60" i="7"/>
  <c r="F60" i="7" s="1"/>
  <c r="G60" i="7" s="1"/>
  <c r="C60" i="7"/>
  <c r="D61" i="7"/>
  <c r="CR58" i="7"/>
  <c r="CJ58" i="7" s="1"/>
  <c r="T59" i="7"/>
  <c r="M59" i="7" s="1"/>
  <c r="Q56" i="22"/>
  <c r="P55" i="22"/>
  <c r="CB60" i="7"/>
  <c r="CA59" i="7"/>
  <c r="CC59" i="7"/>
  <c r="CD59" i="7" s="1"/>
  <c r="CE59" i="7" s="1"/>
  <c r="AK56" i="7"/>
  <c r="BQ57" i="7"/>
  <c r="BV57" i="7" s="1"/>
  <c r="BW57" i="7" s="1"/>
  <c r="W53" i="22"/>
  <c r="X53" i="22" s="1"/>
  <c r="BY58" i="7"/>
  <c r="BQ58" i="7" s="1"/>
  <c r="A50" i="27" l="1"/>
  <c r="C53" i="28"/>
  <c r="D52" i="28"/>
  <c r="B52" i="28"/>
  <c r="K49" i="27"/>
  <c r="H49" i="27"/>
  <c r="G49" i="27"/>
  <c r="F49" i="27"/>
  <c r="I49" i="27"/>
  <c r="BD58" i="7"/>
  <c r="Q58" i="7"/>
  <c r="R58" i="7" s="1"/>
  <c r="CK58" i="7"/>
  <c r="CO58" i="7" s="1"/>
  <c r="CP58" i="7" s="1"/>
  <c r="L59" i="7"/>
  <c r="N59" i="7" s="1"/>
  <c r="AF58" i="7"/>
  <c r="AJ58" i="7" s="1"/>
  <c r="AK58" i="7" s="1"/>
  <c r="CL57" i="7"/>
  <c r="CL58" i="7" s="1"/>
  <c r="BR58" i="7"/>
  <c r="BV58" i="7" s="1"/>
  <c r="BW58" i="7" s="1"/>
  <c r="CR59" i="7"/>
  <c r="CJ59" i="7" s="1"/>
  <c r="W61" i="7"/>
  <c r="X60" i="7"/>
  <c r="Y60" i="7" s="1"/>
  <c r="Z60" i="7" s="1"/>
  <c r="V60" i="7"/>
  <c r="BY59" i="7"/>
  <c r="BQ59" i="7" s="1"/>
  <c r="V55" i="22"/>
  <c r="BS57" i="7"/>
  <c r="BS58" i="7" s="1"/>
  <c r="BI61" i="7"/>
  <c r="BH60" i="7"/>
  <c r="BJ60" i="7"/>
  <c r="BK60" i="7" s="1"/>
  <c r="BL60" i="7" s="1"/>
  <c r="BF60" i="7"/>
  <c r="AY60" i="7" s="1"/>
  <c r="C61" i="7"/>
  <c r="D62" i="7"/>
  <c r="E61" i="7"/>
  <c r="F61" i="7" s="1"/>
  <c r="G61" i="7" s="1"/>
  <c r="AP62" i="7"/>
  <c r="AQ61" i="7"/>
  <c r="AR61" i="7" s="1"/>
  <c r="AS61" i="7" s="1"/>
  <c r="AO61" i="7"/>
  <c r="AX59" i="7"/>
  <c r="AZ59" i="7" s="1"/>
  <c r="CB61" i="7"/>
  <c r="CC60" i="7"/>
  <c r="CD60" i="7" s="1"/>
  <c r="CE60" i="7" s="1"/>
  <c r="CA60" i="7"/>
  <c r="AG58" i="7"/>
  <c r="W54" i="22"/>
  <c r="X54" i="22" s="1"/>
  <c r="AM59" i="7"/>
  <c r="AF59" i="7" s="1"/>
  <c r="Q57" i="22"/>
  <c r="P56" i="22"/>
  <c r="T60" i="7"/>
  <c r="M60" i="7" s="1"/>
  <c r="A51" i="27" l="1"/>
  <c r="C54" i="28"/>
  <c r="D53" i="28"/>
  <c r="B53" i="28"/>
  <c r="K50" i="27"/>
  <c r="F50" i="27"/>
  <c r="H50" i="27"/>
  <c r="I50" i="27"/>
  <c r="G50" i="27"/>
  <c r="AX60" i="7"/>
  <c r="AZ60" i="7" s="1"/>
  <c r="AE59" i="7"/>
  <c r="AJ59" i="7" s="1"/>
  <c r="AK59" i="7" s="1"/>
  <c r="CL59" i="7"/>
  <c r="BR59" i="7"/>
  <c r="BV59" i="7" s="1"/>
  <c r="BW59" i="7" s="1"/>
  <c r="Q59" i="7"/>
  <c r="R59" i="7" s="1"/>
  <c r="CR60" i="7"/>
  <c r="CJ60" i="7" s="1"/>
  <c r="W55" i="22"/>
  <c r="X55" i="22" s="1"/>
  <c r="CK59" i="7"/>
  <c r="CO59" i="7" s="1"/>
  <c r="CP59" i="7" s="1"/>
  <c r="L60" i="7"/>
  <c r="N60" i="7" s="1"/>
  <c r="Q58" i="22"/>
  <c r="P57" i="22"/>
  <c r="BY60" i="7"/>
  <c r="BR60" i="7" s="1"/>
  <c r="CA61" i="7"/>
  <c r="CB62" i="7"/>
  <c r="CC61" i="7"/>
  <c r="CD61" i="7" s="1"/>
  <c r="CE61" i="7" s="1"/>
  <c r="BF61" i="7"/>
  <c r="AY61" i="7" s="1"/>
  <c r="V56" i="22"/>
  <c r="AO62" i="7"/>
  <c r="AP63" i="7"/>
  <c r="AQ62" i="7"/>
  <c r="AR62" i="7" s="1"/>
  <c r="AS62" i="7" s="1"/>
  <c r="T61" i="7"/>
  <c r="M61" i="7" s="1"/>
  <c r="BJ61" i="7"/>
  <c r="BK61" i="7" s="1"/>
  <c r="BL61" i="7" s="1"/>
  <c r="BI62" i="7"/>
  <c r="BH61" i="7"/>
  <c r="AM60" i="7"/>
  <c r="AF60" i="7" s="1"/>
  <c r="BC59" i="7"/>
  <c r="BD59" i="7" s="1"/>
  <c r="D63" i="7"/>
  <c r="E62" i="7"/>
  <c r="F62" i="7" s="1"/>
  <c r="G62" i="7" s="1"/>
  <c r="C62" i="7"/>
  <c r="BS59" i="7"/>
  <c r="V61" i="7"/>
  <c r="W62" i="7"/>
  <c r="X61" i="7"/>
  <c r="Y61" i="7" s="1"/>
  <c r="Z61" i="7" s="1"/>
  <c r="A52" i="27" l="1"/>
  <c r="B54" i="28"/>
  <c r="C55" i="28"/>
  <c r="D54" i="28"/>
  <c r="K51" i="27"/>
  <c r="G51" i="27"/>
  <c r="F51" i="27"/>
  <c r="I51" i="27"/>
  <c r="H51" i="27"/>
  <c r="AG59" i="7"/>
  <c r="CL60" i="7"/>
  <c r="BC60" i="7"/>
  <c r="BD60" i="7" s="1"/>
  <c r="AX61" i="7"/>
  <c r="BC61" i="7" s="1"/>
  <c r="AE60" i="7"/>
  <c r="AJ60" i="7" s="1"/>
  <c r="AK60" i="7" s="1"/>
  <c r="BF62" i="7"/>
  <c r="AX62" i="7" s="1"/>
  <c r="CR61" i="7"/>
  <c r="CJ61" i="7" s="1"/>
  <c r="CA62" i="7"/>
  <c r="CB63" i="7"/>
  <c r="CC62" i="7"/>
  <c r="CD62" i="7" s="1"/>
  <c r="CE62" i="7" s="1"/>
  <c r="CK60" i="7"/>
  <c r="CO60" i="7" s="1"/>
  <c r="CP60" i="7" s="1"/>
  <c r="AP64" i="7"/>
  <c r="AQ63" i="7"/>
  <c r="AR63" i="7" s="1"/>
  <c r="AS63" i="7" s="1"/>
  <c r="AO63" i="7"/>
  <c r="Q59" i="22"/>
  <c r="P58" i="22"/>
  <c r="V57" i="22"/>
  <c r="W56" i="22"/>
  <c r="X56" i="22" s="1"/>
  <c r="W63" i="7"/>
  <c r="X62" i="7"/>
  <c r="Y62" i="7" s="1"/>
  <c r="Z62" i="7" s="1"/>
  <c r="V62" i="7"/>
  <c r="BY61" i="7"/>
  <c r="BR61" i="7" s="1"/>
  <c r="Q60" i="7"/>
  <c r="R60" i="7" s="1"/>
  <c r="D64" i="7"/>
  <c r="C63" i="7"/>
  <c r="E63" i="7"/>
  <c r="F63" i="7" s="1"/>
  <c r="G63" i="7" s="1"/>
  <c r="L61" i="7"/>
  <c r="Q61" i="7" s="1"/>
  <c r="BQ60" i="7"/>
  <c r="BV60" i="7" s="1"/>
  <c r="BW60" i="7" s="1"/>
  <c r="T62" i="7"/>
  <c r="M62" i="7" s="1"/>
  <c r="BJ62" i="7"/>
  <c r="BK62" i="7" s="1"/>
  <c r="BL62" i="7" s="1"/>
  <c r="BI63" i="7"/>
  <c r="BH62" i="7"/>
  <c r="AM61" i="7"/>
  <c r="AE61" i="7" s="1"/>
  <c r="CL61" i="7" l="1"/>
  <c r="A53" i="27"/>
  <c r="C56" i="28"/>
  <c r="D55" i="28"/>
  <c r="B55" i="28"/>
  <c r="K52" i="27"/>
  <c r="F52" i="27"/>
  <c r="H52" i="27"/>
  <c r="I52" i="27"/>
  <c r="G52" i="27"/>
  <c r="BD61" i="7"/>
  <c r="AZ61" i="7"/>
  <c r="AZ62" i="7" s="1"/>
  <c r="AG60" i="7"/>
  <c r="AG61" i="7" s="1"/>
  <c r="AF61" i="7"/>
  <c r="AJ61" i="7" s="1"/>
  <c r="AK61" i="7" s="1"/>
  <c r="L62" i="7"/>
  <c r="Q62" i="7" s="1"/>
  <c r="R62" i="7" s="1"/>
  <c r="CK61" i="7"/>
  <c r="CO61" i="7" s="1"/>
  <c r="CP61" i="7" s="1"/>
  <c r="BQ61" i="7"/>
  <c r="BV61" i="7" s="1"/>
  <c r="BW61" i="7" s="1"/>
  <c r="R61" i="7"/>
  <c r="AT6" i="7"/>
  <c r="P16" i="26" s="1"/>
  <c r="BA62" i="7"/>
  <c r="BF63" i="7"/>
  <c r="AY63" i="7" s="1"/>
  <c r="W57" i="22"/>
  <c r="X57" i="22" s="1"/>
  <c r="AO64" i="7"/>
  <c r="AP65" i="7"/>
  <c r="AQ64" i="7"/>
  <c r="AR64" i="7" s="1"/>
  <c r="AS64" i="7" s="1"/>
  <c r="AY62" i="7"/>
  <c r="BC62" i="7" s="1"/>
  <c r="BD62" i="7" s="1"/>
  <c r="BH63" i="7"/>
  <c r="BI64" i="7"/>
  <c r="BJ63" i="7"/>
  <c r="BK63" i="7" s="1"/>
  <c r="BL63" i="7" s="1"/>
  <c r="BS60" i="7"/>
  <c r="BY62" i="7"/>
  <c r="BQ62" i="7" s="1"/>
  <c r="T63" i="7"/>
  <c r="L63" i="7" s="1"/>
  <c r="V58" i="22"/>
  <c r="CR62" i="7"/>
  <c r="CK62" i="7" s="1"/>
  <c r="AM62" i="7"/>
  <c r="AF62" i="7" s="1"/>
  <c r="P59" i="22"/>
  <c r="Q60" i="22"/>
  <c r="CA63" i="7"/>
  <c r="CC63" i="7"/>
  <c r="CD63" i="7" s="1"/>
  <c r="CE63" i="7" s="1"/>
  <c r="CB64" i="7"/>
  <c r="D65" i="7"/>
  <c r="C64" i="7"/>
  <c r="E64" i="7"/>
  <c r="F64" i="7" s="1"/>
  <c r="G64" i="7" s="1"/>
  <c r="V63" i="7"/>
  <c r="W64" i="7"/>
  <c r="X63" i="7"/>
  <c r="Y63" i="7" s="1"/>
  <c r="Z63" i="7" s="1"/>
  <c r="N61" i="7"/>
  <c r="A54" i="27" l="1"/>
  <c r="D56" i="28"/>
  <c r="B56" i="28"/>
  <c r="C57" i="28"/>
  <c r="K53" i="27"/>
  <c r="G53" i="27"/>
  <c r="F53" i="27"/>
  <c r="I53" i="27"/>
  <c r="H53" i="27"/>
  <c r="N62" i="7"/>
  <c r="N63" i="7" s="1"/>
  <c r="H6" i="7"/>
  <c r="BS61" i="7"/>
  <c r="BS62" i="7" s="1"/>
  <c r="BR62" i="7"/>
  <c r="BV62" i="7" s="1"/>
  <c r="BW62" i="7" s="1"/>
  <c r="O62" i="7"/>
  <c r="AE62" i="7"/>
  <c r="AJ62" i="7" s="1"/>
  <c r="AK62" i="7" s="1"/>
  <c r="BI65" i="7"/>
  <c r="BJ64" i="7"/>
  <c r="BK64" i="7" s="1"/>
  <c r="BL64" i="7" s="1"/>
  <c r="BH64" i="7"/>
  <c r="V59" i="22"/>
  <c r="M63" i="7"/>
  <c r="Q63" i="7" s="1"/>
  <c r="R63" i="7" s="1"/>
  <c r="AX63" i="7"/>
  <c r="BM6" i="7"/>
  <c r="P17" i="26" s="1"/>
  <c r="BT62" i="7"/>
  <c r="BF64" i="7"/>
  <c r="AY64" i="7" s="1"/>
  <c r="P60" i="22"/>
  <c r="Q61" i="22"/>
  <c r="CJ62" i="7"/>
  <c r="AO65" i="7"/>
  <c r="AP66" i="7"/>
  <c r="AQ65" i="7"/>
  <c r="AR65" i="7" s="1"/>
  <c r="AS65" i="7" s="1"/>
  <c r="AM63" i="7"/>
  <c r="AE63" i="7" s="1"/>
  <c r="T64" i="7"/>
  <c r="L64" i="7" s="1"/>
  <c r="C65" i="7"/>
  <c r="D66" i="7"/>
  <c r="E65" i="7"/>
  <c r="F65" i="7" s="1"/>
  <c r="G65" i="7" s="1"/>
  <c r="CB65" i="7"/>
  <c r="CC64" i="7"/>
  <c r="CD64" i="7" s="1"/>
  <c r="CE64" i="7" s="1"/>
  <c r="CA64" i="7"/>
  <c r="W58" i="22"/>
  <c r="X58" i="22" s="1"/>
  <c r="CR63" i="7"/>
  <c r="CK63" i="7" s="1"/>
  <c r="X64" i="7"/>
  <c r="Y64" i="7" s="1"/>
  <c r="Z64" i="7" s="1"/>
  <c r="W65" i="7"/>
  <c r="V64" i="7"/>
  <c r="BY63" i="7"/>
  <c r="BQ63" i="7" s="1"/>
  <c r="A55" i="27" l="1"/>
  <c r="B57" i="28"/>
  <c r="C58" i="28"/>
  <c r="D57" i="28"/>
  <c r="K54" i="27"/>
  <c r="H54" i="27"/>
  <c r="F54" i="27"/>
  <c r="I54" i="27"/>
  <c r="G54" i="27"/>
  <c r="AA6" i="7"/>
  <c r="P15" i="26" s="1"/>
  <c r="AH62" i="7"/>
  <c r="AG62" i="7"/>
  <c r="AG63" i="7" s="1"/>
  <c r="M64" i="7"/>
  <c r="Q64" i="7" s="1"/>
  <c r="R64" i="7" s="1"/>
  <c r="AX64" i="7"/>
  <c r="BC64" i="7" s="1"/>
  <c r="AM64" i="7"/>
  <c r="AE64" i="7" s="1"/>
  <c r="X59" i="22"/>
  <c r="W59" i="22"/>
  <c r="CR64" i="7"/>
  <c r="CJ64" i="7" s="1"/>
  <c r="CC65" i="7"/>
  <c r="CD65" i="7" s="1"/>
  <c r="CE65" i="7" s="1"/>
  <c r="CA65" i="7"/>
  <c r="CB66" i="7"/>
  <c r="AF63" i="7"/>
  <c r="AJ63" i="7" s="1"/>
  <c r="AK63" i="7" s="1"/>
  <c r="CF6" i="7"/>
  <c r="P18" i="26" s="1"/>
  <c r="CM62" i="7"/>
  <c r="CL62" i="7"/>
  <c r="BY64" i="7"/>
  <c r="BQ64" i="7" s="1"/>
  <c r="BI66" i="7"/>
  <c r="BJ65" i="7"/>
  <c r="BK65" i="7" s="1"/>
  <c r="BL65" i="7" s="1"/>
  <c r="BH65" i="7"/>
  <c r="CJ63" i="7"/>
  <c r="BR63" i="7"/>
  <c r="BV63" i="7" s="1"/>
  <c r="BW63" i="7" s="1"/>
  <c r="T65" i="7"/>
  <c r="M65" i="7" s="1"/>
  <c r="P61" i="22"/>
  <c r="Q62" i="22"/>
  <c r="CO62" i="7"/>
  <c r="CP62" i="7" s="1"/>
  <c r="N64" i="7"/>
  <c r="D67" i="7"/>
  <c r="E66" i="7"/>
  <c r="F66" i="7" s="1"/>
  <c r="G66" i="7" s="1"/>
  <c r="C66" i="7"/>
  <c r="V60" i="22"/>
  <c r="BS63" i="7"/>
  <c r="BF65" i="7"/>
  <c r="AY65" i="7" s="1"/>
  <c r="X65" i="7"/>
  <c r="Y65" i="7" s="1"/>
  <c r="Z65" i="7" s="1"/>
  <c r="V65" i="7"/>
  <c r="W66" i="7"/>
  <c r="AQ66" i="7"/>
  <c r="AR66" i="7" s="1"/>
  <c r="AS66" i="7" s="1"/>
  <c r="AO66" i="7"/>
  <c r="AP67" i="7"/>
  <c r="AZ63" i="7"/>
  <c r="BC63" i="7"/>
  <c r="BD63" i="7" s="1"/>
  <c r="A56" i="27" l="1"/>
  <c r="C59" i="28"/>
  <c r="D58" i="28"/>
  <c r="B58" i="28"/>
  <c r="K55" i="27"/>
  <c r="G55" i="27"/>
  <c r="F55" i="27"/>
  <c r="I55" i="27"/>
  <c r="H55" i="27"/>
  <c r="AZ64" i="7"/>
  <c r="L65" i="7"/>
  <c r="N65" i="7" s="1"/>
  <c r="CK64" i="7"/>
  <c r="CO64" i="7" s="1"/>
  <c r="AF64" i="7"/>
  <c r="AJ64" i="7" s="1"/>
  <c r="AK64" i="7" s="1"/>
  <c r="BF66" i="7"/>
  <c r="AY66" i="7" s="1"/>
  <c r="BS64" i="7"/>
  <c r="BR64" i="7"/>
  <c r="BV64" i="7" s="1"/>
  <c r="BW64" i="7" s="1"/>
  <c r="CR65" i="7"/>
  <c r="CJ65" i="7" s="1"/>
  <c r="W67" i="7"/>
  <c r="V66" i="7"/>
  <c r="X66" i="7"/>
  <c r="Y66" i="7" s="1"/>
  <c r="Z66" i="7" s="1"/>
  <c r="CL63" i="7"/>
  <c r="CL64" i="7" s="1"/>
  <c r="AG64" i="7"/>
  <c r="W60" i="22"/>
  <c r="X60" i="22" s="1"/>
  <c r="V61" i="22"/>
  <c r="BY65" i="7"/>
  <c r="BQ65" i="7" s="1"/>
  <c r="T66" i="7"/>
  <c r="M66" i="7" s="1"/>
  <c r="BJ66" i="7"/>
  <c r="BK66" i="7" s="1"/>
  <c r="BL66" i="7" s="1"/>
  <c r="BI67" i="7"/>
  <c r="BH66" i="7"/>
  <c r="CO63" i="7"/>
  <c r="CP63" i="7" s="1"/>
  <c r="P62" i="22"/>
  <c r="Q63" i="22"/>
  <c r="C67" i="7"/>
  <c r="D68" i="7"/>
  <c r="E67" i="7"/>
  <c r="F67" i="7" s="1"/>
  <c r="G67" i="7" s="1"/>
  <c r="BD64" i="7"/>
  <c r="AM65" i="7"/>
  <c r="AF65" i="7" s="1"/>
  <c r="AX65" i="7"/>
  <c r="BC65" i="7" s="1"/>
  <c r="BD65" i="7" s="1"/>
  <c r="CC66" i="7"/>
  <c r="CD66" i="7" s="1"/>
  <c r="CE66" i="7" s="1"/>
  <c r="CA66" i="7"/>
  <c r="CB67" i="7"/>
  <c r="AP68" i="7"/>
  <c r="AQ67" i="7"/>
  <c r="AR67" i="7" s="1"/>
  <c r="AS67" i="7" s="1"/>
  <c r="AO67" i="7"/>
  <c r="A57" i="27" l="1"/>
  <c r="D59" i="28"/>
  <c r="B59" i="28"/>
  <c r="C60" i="28"/>
  <c r="K56" i="27"/>
  <c r="H56" i="27"/>
  <c r="F56" i="27"/>
  <c r="G56" i="27"/>
  <c r="I56" i="27"/>
  <c r="Q65" i="7"/>
  <c r="R65" i="7" s="1"/>
  <c r="CK65" i="7"/>
  <c r="CO65" i="7" s="1"/>
  <c r="CP65" i="7" s="1"/>
  <c r="BR65" i="7"/>
  <c r="BV65" i="7" s="1"/>
  <c r="BW65" i="7" s="1"/>
  <c r="AZ65" i="7"/>
  <c r="BJ67" i="7"/>
  <c r="BK67" i="7" s="1"/>
  <c r="BL67" i="7" s="1"/>
  <c r="BH67" i="7"/>
  <c r="BI68" i="7"/>
  <c r="CL65" i="7"/>
  <c r="BS65" i="7"/>
  <c r="AM66" i="7"/>
  <c r="AF66" i="7" s="1"/>
  <c r="AQ68" i="7"/>
  <c r="AR68" i="7" s="1"/>
  <c r="AS68" i="7" s="1"/>
  <c r="AP69" i="7"/>
  <c r="AO68" i="7"/>
  <c r="AE65" i="7"/>
  <c r="AJ65" i="7" s="1"/>
  <c r="AK65" i="7" s="1"/>
  <c r="L66" i="7"/>
  <c r="N66" i="7" s="1"/>
  <c r="AX66" i="7"/>
  <c r="BC66" i="7" s="1"/>
  <c r="BD66" i="7" s="1"/>
  <c r="V62" i="22"/>
  <c r="W68" i="7"/>
  <c r="X67" i="7"/>
  <c r="Y67" i="7" s="1"/>
  <c r="Z67" i="7" s="1"/>
  <c r="V67" i="7"/>
  <c r="BY66" i="7"/>
  <c r="BR66" i="7" s="1"/>
  <c r="CB68" i="7"/>
  <c r="CA67" i="7"/>
  <c r="CC67" i="7"/>
  <c r="CD67" i="7" s="1"/>
  <c r="CE67" i="7" s="1"/>
  <c r="BF67" i="7"/>
  <c r="AY67" i="7" s="1"/>
  <c r="P63" i="22"/>
  <c r="Q64" i="22"/>
  <c r="W61" i="22"/>
  <c r="X61" i="22" s="1"/>
  <c r="CR66" i="7"/>
  <c r="CK66" i="7" s="1"/>
  <c r="T67" i="7"/>
  <c r="L67" i="7" s="1"/>
  <c r="E68" i="7"/>
  <c r="F68" i="7" s="1"/>
  <c r="G68" i="7" s="1"/>
  <c r="C68" i="7"/>
  <c r="D69" i="7"/>
  <c r="CP64" i="7"/>
  <c r="A58" i="27" l="1"/>
  <c r="D60" i="28"/>
  <c r="C61" i="28"/>
  <c r="B60" i="28"/>
  <c r="K57" i="27"/>
  <c r="F57" i="27"/>
  <c r="I57" i="27"/>
  <c r="H57" i="27"/>
  <c r="G57" i="27"/>
  <c r="AE66" i="7"/>
  <c r="AJ66" i="7" s="1"/>
  <c r="AK66" i="7" s="1"/>
  <c r="AG65" i="7"/>
  <c r="AZ66" i="7"/>
  <c r="CR67" i="7"/>
  <c r="CJ67" i="7" s="1"/>
  <c r="V68" i="7"/>
  <c r="X68" i="7"/>
  <c r="Y68" i="7" s="1"/>
  <c r="Z68" i="7" s="1"/>
  <c r="W69" i="7"/>
  <c r="BF68" i="7"/>
  <c r="AX68" i="7" s="1"/>
  <c r="BY67" i="7"/>
  <c r="BR67" i="7" s="1"/>
  <c r="CB69" i="7"/>
  <c r="CC68" i="7"/>
  <c r="CD68" i="7" s="1"/>
  <c r="CE68" i="7" s="1"/>
  <c r="CA68" i="7"/>
  <c r="W62" i="22"/>
  <c r="X62" i="22"/>
  <c r="D70" i="7"/>
  <c r="E69" i="7"/>
  <c r="F69" i="7" s="1"/>
  <c r="G69" i="7" s="1"/>
  <c r="C69" i="7"/>
  <c r="M67" i="7"/>
  <c r="Q67" i="7" s="1"/>
  <c r="V63" i="22"/>
  <c r="BQ66" i="7"/>
  <c r="BV66" i="7" s="1"/>
  <c r="BW66" i="7" s="1"/>
  <c r="P64" i="22"/>
  <c r="Q65" i="22"/>
  <c r="CJ66" i="7"/>
  <c r="CO66" i="7" s="1"/>
  <c r="CP66" i="7" s="1"/>
  <c r="N67" i="7"/>
  <c r="T68" i="7"/>
  <c r="L68" i="7" s="1"/>
  <c r="AX67" i="7"/>
  <c r="Q66" i="7"/>
  <c r="R66" i="7" s="1"/>
  <c r="BJ68" i="7"/>
  <c r="BK68" i="7" s="1"/>
  <c r="BL68" i="7" s="1"/>
  <c r="BH68" i="7"/>
  <c r="BI69" i="7"/>
  <c r="AM67" i="7"/>
  <c r="AF67" i="7" s="1"/>
  <c r="AP70" i="7"/>
  <c r="AO69" i="7"/>
  <c r="AQ69" i="7"/>
  <c r="AR69" i="7" s="1"/>
  <c r="AS69" i="7" s="1"/>
  <c r="A59" i="27" l="1"/>
  <c r="C62" i="28"/>
  <c r="D61" i="28"/>
  <c r="B61" i="28"/>
  <c r="K58" i="27"/>
  <c r="H58" i="27"/>
  <c r="I58" i="27"/>
  <c r="G58" i="27"/>
  <c r="F58" i="27"/>
  <c r="M68" i="7"/>
  <c r="Q68" i="7" s="1"/>
  <c r="R68" i="7" s="1"/>
  <c r="AG66" i="7"/>
  <c r="R67" i="7"/>
  <c r="BQ67" i="7"/>
  <c r="BV67" i="7" s="1"/>
  <c r="BW67" i="7" s="1"/>
  <c r="AY68" i="7"/>
  <c r="BC68" i="7" s="1"/>
  <c r="AE67" i="7"/>
  <c r="AJ67" i="7" s="1"/>
  <c r="AK67" i="7" s="1"/>
  <c r="CL66" i="7"/>
  <c r="CL67" i="7" s="1"/>
  <c r="CA69" i="7"/>
  <c r="CC69" i="7"/>
  <c r="CD69" i="7" s="1"/>
  <c r="CE69" i="7" s="1"/>
  <c r="CB70" i="7"/>
  <c r="AM68" i="7"/>
  <c r="AE68" i="7" s="1"/>
  <c r="P65" i="22"/>
  <c r="Q66" i="22"/>
  <c r="V64" i="22"/>
  <c r="E70" i="7"/>
  <c r="F70" i="7" s="1"/>
  <c r="G70" i="7" s="1"/>
  <c r="C70" i="7"/>
  <c r="D71" i="7"/>
  <c r="CK67" i="7"/>
  <c r="CO67" i="7" s="1"/>
  <c r="CP67" i="7" s="1"/>
  <c r="BH69" i="7"/>
  <c r="BI70" i="7"/>
  <c r="BJ69" i="7"/>
  <c r="BK69" i="7" s="1"/>
  <c r="BL69" i="7" s="1"/>
  <c r="BF69" i="7"/>
  <c r="AY69" i="7" s="1"/>
  <c r="T69" i="7"/>
  <c r="M69" i="7" s="1"/>
  <c r="BY68" i="7"/>
  <c r="BR68" i="7" s="1"/>
  <c r="AZ67" i="7"/>
  <c r="AZ68" i="7" s="1"/>
  <c r="AP71" i="7"/>
  <c r="AQ70" i="7"/>
  <c r="AR70" i="7" s="1"/>
  <c r="AS70" i="7" s="1"/>
  <c r="AO70" i="7"/>
  <c r="BS66" i="7"/>
  <c r="W63" i="22"/>
  <c r="X63" i="22" s="1"/>
  <c r="BC67" i="7"/>
  <c r="BD67" i="7" s="1"/>
  <c r="N68" i="7"/>
  <c r="CR68" i="7"/>
  <c r="CJ68" i="7" s="1"/>
  <c r="W70" i="7"/>
  <c r="X69" i="7"/>
  <c r="Y69" i="7" s="1"/>
  <c r="Z69" i="7" s="1"/>
  <c r="V69" i="7"/>
  <c r="A60" i="27" l="1"/>
  <c r="B62" i="28"/>
  <c r="C63" i="28"/>
  <c r="D62" i="28"/>
  <c r="K59" i="27"/>
  <c r="I59" i="27"/>
  <c r="H59" i="27"/>
  <c r="F59" i="27"/>
  <c r="G59" i="27"/>
  <c r="AG67" i="7"/>
  <c r="AG68" i="7" s="1"/>
  <c r="BS67" i="7"/>
  <c r="BQ68" i="7"/>
  <c r="BV68" i="7" s="1"/>
  <c r="BW68" i="7" s="1"/>
  <c r="AX69" i="7"/>
  <c r="BC69" i="7" s="1"/>
  <c r="BD69" i="7" s="1"/>
  <c r="AM69" i="7"/>
  <c r="AF69" i="7" s="1"/>
  <c r="T70" i="7"/>
  <c r="L70" i="7" s="1"/>
  <c r="AF68" i="7"/>
  <c r="AJ68" i="7" s="1"/>
  <c r="AK68" i="7" s="1"/>
  <c r="BD68" i="7"/>
  <c r="CK68" i="7"/>
  <c r="CO68" i="7" s="1"/>
  <c r="CP68" i="7" s="1"/>
  <c r="W64" i="22"/>
  <c r="X64" i="22" s="1"/>
  <c r="X70" i="7"/>
  <c r="Y70" i="7" s="1"/>
  <c r="Z70" i="7" s="1"/>
  <c r="V70" i="7"/>
  <c r="W71" i="7"/>
  <c r="BY69" i="7"/>
  <c r="BR69" i="7" s="1"/>
  <c r="BI71" i="7"/>
  <c r="BJ70" i="7"/>
  <c r="BK70" i="7" s="1"/>
  <c r="BL70" i="7" s="1"/>
  <c r="BH70" i="7"/>
  <c r="P66" i="22"/>
  <c r="Q67" i="22"/>
  <c r="CA70" i="7"/>
  <c r="CB71" i="7"/>
  <c r="CC70" i="7"/>
  <c r="CD70" i="7" s="1"/>
  <c r="CE70" i="7" s="1"/>
  <c r="L69" i="7"/>
  <c r="Q69" i="7" s="1"/>
  <c r="R69" i="7" s="1"/>
  <c r="CR69" i="7"/>
  <c r="CJ69" i="7" s="1"/>
  <c r="BF70" i="7"/>
  <c r="AY70" i="7" s="1"/>
  <c r="V65" i="22"/>
  <c r="CL68" i="7"/>
  <c r="AO71" i="7"/>
  <c r="AQ71" i="7"/>
  <c r="AR71" i="7" s="1"/>
  <c r="AS71" i="7" s="1"/>
  <c r="AP72" i="7"/>
  <c r="D72" i="7"/>
  <c r="C71" i="7"/>
  <c r="E71" i="7"/>
  <c r="F71" i="7" s="1"/>
  <c r="G71" i="7" s="1"/>
  <c r="A61" i="27" l="1"/>
  <c r="C64" i="28"/>
  <c r="D63" i="28"/>
  <c r="B63" i="28"/>
  <c r="K60" i="27"/>
  <c r="H60" i="27"/>
  <c r="I60" i="27"/>
  <c r="G60" i="27"/>
  <c r="F60" i="27"/>
  <c r="BS68" i="7"/>
  <c r="AZ69" i="7"/>
  <c r="AX70" i="7"/>
  <c r="BC70" i="7" s="1"/>
  <c r="BD70" i="7" s="1"/>
  <c r="BQ69" i="7"/>
  <c r="BV69" i="7" s="1"/>
  <c r="BW69" i="7" s="1"/>
  <c r="M70" i="7"/>
  <c r="Q70" i="7" s="1"/>
  <c r="R70" i="7" s="1"/>
  <c r="BY70" i="7"/>
  <c r="BQ70" i="7" s="1"/>
  <c r="AM70" i="7"/>
  <c r="AF70" i="7" s="1"/>
  <c r="BJ71" i="7"/>
  <c r="BK71" i="7" s="1"/>
  <c r="BL71" i="7" s="1"/>
  <c r="BI72" i="7"/>
  <c r="BH71" i="7"/>
  <c r="W65" i="22"/>
  <c r="X65" i="22"/>
  <c r="BF71" i="7"/>
  <c r="AX71" i="7" s="1"/>
  <c r="AP73" i="7"/>
  <c r="AQ72" i="7"/>
  <c r="AR72" i="7" s="1"/>
  <c r="AS72" i="7" s="1"/>
  <c r="AO72" i="7"/>
  <c r="AE69" i="7"/>
  <c r="AJ69" i="7" s="1"/>
  <c r="AK69" i="7" s="1"/>
  <c r="D73" i="7"/>
  <c r="E72" i="7"/>
  <c r="F72" i="7" s="1"/>
  <c r="G72" i="7" s="1"/>
  <c r="C72" i="7"/>
  <c r="CC71" i="7"/>
  <c r="CD71" i="7" s="1"/>
  <c r="CE71" i="7" s="1"/>
  <c r="CA71" i="7"/>
  <c r="CB72" i="7"/>
  <c r="P67" i="22"/>
  <c r="Q68" i="22"/>
  <c r="CL69" i="7"/>
  <c r="CK69" i="7"/>
  <c r="CO69" i="7" s="1"/>
  <c r="CP69" i="7" s="1"/>
  <c r="V66" i="22"/>
  <c r="CR70" i="7"/>
  <c r="CJ70" i="7" s="1"/>
  <c r="N69" i="7"/>
  <c r="N70" i="7" s="1"/>
  <c r="T71" i="7"/>
  <c r="L71" i="7" s="1"/>
  <c r="V71" i="7"/>
  <c r="X71" i="7"/>
  <c r="Y71" i="7" s="1"/>
  <c r="Z71" i="7" s="1"/>
  <c r="W72" i="7"/>
  <c r="AZ70" i="7" l="1"/>
  <c r="AZ71" i="7" s="1"/>
  <c r="A62" i="27"/>
  <c r="D64" i="28"/>
  <c r="B64" i="28"/>
  <c r="C65" i="28"/>
  <c r="K61" i="27"/>
  <c r="I61" i="27"/>
  <c r="H61" i="27"/>
  <c r="G61" i="27"/>
  <c r="F61" i="27"/>
  <c r="BS69" i="7"/>
  <c r="BS70" i="7" s="1"/>
  <c r="CK70" i="7"/>
  <c r="CO70" i="7" s="1"/>
  <c r="CP70" i="7" s="1"/>
  <c r="AG69" i="7"/>
  <c r="AY71" i="7"/>
  <c r="BC71" i="7" s="1"/>
  <c r="BD71" i="7" s="1"/>
  <c r="BR70" i="7"/>
  <c r="BV70" i="7" s="1"/>
  <c r="BW70" i="7" s="1"/>
  <c r="AM71" i="7"/>
  <c r="AE71" i="7" s="1"/>
  <c r="V67" i="22"/>
  <c r="AE70" i="7"/>
  <c r="AJ70" i="7" s="1"/>
  <c r="AK70" i="7" s="1"/>
  <c r="W73" i="7"/>
  <c r="X72" i="7"/>
  <c r="Y72" i="7" s="1"/>
  <c r="Z72" i="7" s="1"/>
  <c r="V72" i="7"/>
  <c r="C73" i="7"/>
  <c r="E73" i="7"/>
  <c r="F73" i="7" s="1"/>
  <c r="G73" i="7" s="1"/>
  <c r="D74" i="7"/>
  <c r="CA72" i="7"/>
  <c r="CB73" i="7"/>
  <c r="CC72" i="7"/>
  <c r="CD72" i="7" s="1"/>
  <c r="CE72" i="7" s="1"/>
  <c r="M71" i="7"/>
  <c r="Q71" i="7" s="1"/>
  <c r="R71" i="7" s="1"/>
  <c r="W66" i="22"/>
  <c r="X66" i="22" s="1"/>
  <c r="BF72" i="7"/>
  <c r="AX72" i="7" s="1"/>
  <c r="CR71" i="7"/>
  <c r="CK71" i="7" s="1"/>
  <c r="AQ73" i="7"/>
  <c r="AR73" i="7" s="1"/>
  <c r="AS73" i="7" s="1"/>
  <c r="AO73" i="7"/>
  <c r="AP74" i="7"/>
  <c r="CL70" i="7"/>
  <c r="BI73" i="7"/>
  <c r="BH72" i="7"/>
  <c r="BJ72" i="7"/>
  <c r="BK72" i="7" s="1"/>
  <c r="BL72" i="7" s="1"/>
  <c r="N71" i="7"/>
  <c r="P68" i="22"/>
  <c r="Q69" i="22"/>
  <c r="T72" i="7"/>
  <c r="L72" i="7" s="1"/>
  <c r="BY71" i="7"/>
  <c r="BR71" i="7" s="1"/>
  <c r="A63" i="27" l="1"/>
  <c r="B65" i="28"/>
  <c r="C66" i="28"/>
  <c r="D65" i="28"/>
  <c r="K62" i="27"/>
  <c r="I62" i="27"/>
  <c r="G62" i="27"/>
  <c r="F62" i="27"/>
  <c r="H62" i="27"/>
  <c r="AY72" i="7"/>
  <c r="BC72" i="7" s="1"/>
  <c r="BD72" i="7" s="1"/>
  <c r="CC73" i="7"/>
  <c r="CD73" i="7" s="1"/>
  <c r="CE73" i="7" s="1"/>
  <c r="CA73" i="7"/>
  <c r="CB74" i="7"/>
  <c r="X73" i="7"/>
  <c r="Y73" i="7" s="1"/>
  <c r="Z73" i="7" s="1"/>
  <c r="V73" i="7"/>
  <c r="W74" i="7"/>
  <c r="N72" i="7"/>
  <c r="AP75" i="7"/>
  <c r="AQ74" i="7"/>
  <c r="AR74" i="7" s="1"/>
  <c r="AS74" i="7" s="1"/>
  <c r="AO74" i="7"/>
  <c r="AZ72" i="7"/>
  <c r="W67" i="22"/>
  <c r="X67" i="22" s="1"/>
  <c r="M72" i="7"/>
  <c r="Q72" i="7" s="1"/>
  <c r="R72" i="7" s="1"/>
  <c r="BY72" i="7"/>
  <c r="BR72" i="7" s="1"/>
  <c r="C74" i="7"/>
  <c r="D75" i="7"/>
  <c r="E74" i="7"/>
  <c r="F74" i="7" s="1"/>
  <c r="G74" i="7" s="1"/>
  <c r="V68" i="22"/>
  <c r="BF73" i="7"/>
  <c r="AY73" i="7" s="1"/>
  <c r="T73" i="7"/>
  <c r="L73" i="7" s="1"/>
  <c r="AF71" i="7"/>
  <c r="AJ71" i="7" s="1"/>
  <c r="AK71" i="7" s="1"/>
  <c r="BQ71" i="7"/>
  <c r="BV71" i="7" s="1"/>
  <c r="BW71" i="7" s="1"/>
  <c r="BJ73" i="7"/>
  <c r="BK73" i="7" s="1"/>
  <c r="BL73" i="7" s="1"/>
  <c r="BH73" i="7"/>
  <c r="BI74" i="7"/>
  <c r="AG70" i="7"/>
  <c r="AG71" i="7" s="1"/>
  <c r="CJ71" i="7"/>
  <c r="CL71" i="7" s="1"/>
  <c r="P69" i="22"/>
  <c r="Q70" i="22"/>
  <c r="CR72" i="7"/>
  <c r="CK72" i="7" s="1"/>
  <c r="AM72" i="7"/>
  <c r="AE72" i="7" s="1"/>
  <c r="A64" i="27" l="1"/>
  <c r="C67" i="28"/>
  <c r="D66" i="28"/>
  <c r="B66" i="28"/>
  <c r="K63" i="27"/>
  <c r="H63" i="27"/>
  <c r="I63" i="27"/>
  <c r="G63" i="27"/>
  <c r="F63" i="27"/>
  <c r="BQ72" i="7"/>
  <c r="BV72" i="7" s="1"/>
  <c r="BW72" i="7" s="1"/>
  <c r="AX73" i="7"/>
  <c r="BC73" i="7" s="1"/>
  <c r="BD73" i="7" s="1"/>
  <c r="CJ72" i="7"/>
  <c r="CO72" i="7" s="1"/>
  <c r="M73" i="7"/>
  <c r="Q73" i="7" s="1"/>
  <c r="R73" i="7" s="1"/>
  <c r="T74" i="7"/>
  <c r="L74" i="7" s="1"/>
  <c r="E75" i="7"/>
  <c r="F75" i="7" s="1"/>
  <c r="G75" i="7" s="1"/>
  <c r="D76" i="7"/>
  <c r="C75" i="7"/>
  <c r="AM73" i="7"/>
  <c r="AF73" i="7" s="1"/>
  <c r="AG72" i="7"/>
  <c r="CB75" i="7"/>
  <c r="CC74" i="7"/>
  <c r="CD74" i="7" s="1"/>
  <c r="CE74" i="7" s="1"/>
  <c r="CA74" i="7"/>
  <c r="X74" i="7"/>
  <c r="Y74" i="7" s="1"/>
  <c r="Z74" i="7" s="1"/>
  <c r="W75" i="7"/>
  <c r="V74" i="7"/>
  <c r="BF74" i="7"/>
  <c r="AY74" i="7" s="1"/>
  <c r="AF72" i="7"/>
  <c r="AJ72" i="7" s="1"/>
  <c r="AK72" i="7" s="1"/>
  <c r="AP76" i="7"/>
  <c r="AO75" i="7"/>
  <c r="AQ75" i="7"/>
  <c r="AR75" i="7" s="1"/>
  <c r="AS75" i="7" s="1"/>
  <c r="CR73" i="7"/>
  <c r="CK73" i="7" s="1"/>
  <c r="V69" i="22"/>
  <c r="P70" i="22"/>
  <c r="Q71" i="22"/>
  <c r="BY73" i="7"/>
  <c r="BR73" i="7" s="1"/>
  <c r="N73" i="7"/>
  <c r="CO71" i="7"/>
  <c r="CP71" i="7" s="1"/>
  <c r="BJ74" i="7"/>
  <c r="BK74" i="7" s="1"/>
  <c r="BL74" i="7" s="1"/>
  <c r="BI75" i="7"/>
  <c r="BH74" i="7"/>
  <c r="W68" i="22"/>
  <c r="X68" i="22" s="1"/>
  <c r="BS71" i="7"/>
  <c r="BS72" i="7" l="1"/>
  <c r="A65" i="27"/>
  <c r="D67" i="28"/>
  <c r="B67" i="28"/>
  <c r="C68" i="28"/>
  <c r="K64" i="27"/>
  <c r="F64" i="27"/>
  <c r="I64" i="27"/>
  <c r="G64" i="27"/>
  <c r="H64" i="27"/>
  <c r="AX74" i="7"/>
  <c r="BC74" i="7" s="1"/>
  <c r="BD74" i="7" s="1"/>
  <c r="AZ73" i="7"/>
  <c r="AE73" i="7"/>
  <c r="AJ73" i="7" s="1"/>
  <c r="AK73" i="7" s="1"/>
  <c r="CL72" i="7"/>
  <c r="H7" i="7"/>
  <c r="O74" i="7"/>
  <c r="CR74" i="7"/>
  <c r="CK74" i="7" s="1"/>
  <c r="BQ73" i="7"/>
  <c r="BV73" i="7" s="1"/>
  <c r="BW73" i="7" s="1"/>
  <c r="CJ73" i="7"/>
  <c r="CB76" i="7"/>
  <c r="CC75" i="7"/>
  <c r="CD75" i="7" s="1"/>
  <c r="CE75" i="7" s="1"/>
  <c r="CA75" i="7"/>
  <c r="D77" i="7"/>
  <c r="C76" i="7"/>
  <c r="E76" i="7"/>
  <c r="F76" i="7" s="1"/>
  <c r="G76" i="7" s="1"/>
  <c r="W69" i="22"/>
  <c r="X69" i="22" s="1"/>
  <c r="T75" i="7"/>
  <c r="M75" i="7" s="1"/>
  <c r="P71" i="22"/>
  <c r="Q72" i="22"/>
  <c r="BJ75" i="7"/>
  <c r="BK75" i="7" s="1"/>
  <c r="BL75" i="7" s="1"/>
  <c r="BH75" i="7"/>
  <c r="BI76" i="7"/>
  <c r="CP72" i="7"/>
  <c r="M74" i="7"/>
  <c r="Q74" i="7" s="1"/>
  <c r="R74" i="7" s="1"/>
  <c r="BY74" i="7"/>
  <c r="BQ74" i="7" s="1"/>
  <c r="V70" i="22"/>
  <c r="BF75" i="7"/>
  <c r="AX75" i="7" s="1"/>
  <c r="W76" i="7"/>
  <c r="V75" i="7"/>
  <c r="X75" i="7"/>
  <c r="Y75" i="7" s="1"/>
  <c r="Z75" i="7" s="1"/>
  <c r="N74" i="7"/>
  <c r="AP77" i="7"/>
  <c r="AQ76" i="7"/>
  <c r="AR76" i="7" s="1"/>
  <c r="AS76" i="7" s="1"/>
  <c r="AO76" i="7"/>
  <c r="AM74" i="7"/>
  <c r="AE74" i="7" s="1"/>
  <c r="A66" i="27" l="1"/>
  <c r="C69" i="28"/>
  <c r="D68" i="28"/>
  <c r="B68" i="28"/>
  <c r="K65" i="27"/>
  <c r="G65" i="27"/>
  <c r="F65" i="27"/>
  <c r="I65" i="27"/>
  <c r="H65" i="27"/>
  <c r="AG73" i="7"/>
  <c r="AG74" i="7" s="1"/>
  <c r="BA74" i="7"/>
  <c r="AT7" i="7"/>
  <c r="AZ74" i="7"/>
  <c r="AZ75" i="7" s="1"/>
  <c r="AF74" i="7"/>
  <c r="AJ74" i="7" s="1"/>
  <c r="AK74" i="7" s="1"/>
  <c r="L75" i="7"/>
  <c r="Q75" i="7" s="1"/>
  <c r="R75" i="7" s="1"/>
  <c r="AY75" i="7"/>
  <c r="BC75" i="7" s="1"/>
  <c r="BD75" i="7" s="1"/>
  <c r="CL73" i="7"/>
  <c r="BR74" i="7"/>
  <c r="BV74" i="7" s="1"/>
  <c r="BW74" i="7" s="1"/>
  <c r="CJ74" i="7"/>
  <c r="CF7" i="7" s="1"/>
  <c r="BM7" i="7"/>
  <c r="BT74" i="7"/>
  <c r="BJ76" i="7"/>
  <c r="BK76" i="7" s="1"/>
  <c r="BL76" i="7" s="1"/>
  <c r="BI77" i="7"/>
  <c r="BH76" i="7"/>
  <c r="BF76" i="7"/>
  <c r="AX76" i="7" s="1"/>
  <c r="CR75" i="7"/>
  <c r="CJ75" i="7" s="1"/>
  <c r="W70" i="22"/>
  <c r="X70" i="22" s="1"/>
  <c r="BY75" i="7"/>
  <c r="BR75" i="7" s="1"/>
  <c r="CA76" i="7"/>
  <c r="CC76" i="7"/>
  <c r="CD76" i="7" s="1"/>
  <c r="CE76" i="7" s="1"/>
  <c r="CB77" i="7"/>
  <c r="AQ77" i="7"/>
  <c r="AR77" i="7" s="1"/>
  <c r="AS77" i="7" s="1"/>
  <c r="AO77" i="7"/>
  <c r="AP78" i="7"/>
  <c r="AA7" i="7"/>
  <c r="AH74" i="7"/>
  <c r="BS73" i="7"/>
  <c r="BS74" i="7" s="1"/>
  <c r="AM75" i="7"/>
  <c r="AF75" i="7" s="1"/>
  <c r="P72" i="22"/>
  <c r="Q73" i="22"/>
  <c r="D78" i="7"/>
  <c r="C77" i="7"/>
  <c r="E77" i="7"/>
  <c r="F77" i="7" s="1"/>
  <c r="G77" i="7" s="1"/>
  <c r="CO73" i="7"/>
  <c r="CP73" i="7" s="1"/>
  <c r="V76" i="7"/>
  <c r="X76" i="7"/>
  <c r="Y76" i="7" s="1"/>
  <c r="Z76" i="7" s="1"/>
  <c r="W77" i="7"/>
  <c r="V71" i="22"/>
  <c r="T76" i="7"/>
  <c r="L76" i="7" s="1"/>
  <c r="Y51" i="22" l="1"/>
  <c r="Y52" i="22"/>
  <c r="Y53" i="22"/>
  <c r="Y54" i="22"/>
  <c r="Y55" i="22"/>
  <c r="Y56" i="22"/>
  <c r="Y57" i="22"/>
  <c r="Y58" i="22"/>
  <c r="Y59" i="22"/>
  <c r="Y60" i="22"/>
  <c r="Y61" i="22"/>
  <c r="Y62" i="22"/>
  <c r="Y63" i="22"/>
  <c r="Y64" i="22"/>
  <c r="Y65" i="22"/>
  <c r="Y66" i="22"/>
  <c r="Y67" i="22"/>
  <c r="Y68" i="22"/>
  <c r="Y70" i="22"/>
  <c r="Y69" i="22"/>
  <c r="A67" i="27"/>
  <c r="C70" i="28"/>
  <c r="D69" i="28"/>
  <c r="B69" i="28"/>
  <c r="K66" i="27"/>
  <c r="I66" i="27"/>
  <c r="G66" i="27"/>
  <c r="F66" i="27"/>
  <c r="H66" i="27"/>
  <c r="N75" i="7"/>
  <c r="N76" i="7" s="1"/>
  <c r="CL74" i="7"/>
  <c r="CL75" i="7" s="1"/>
  <c r="CO74" i="7"/>
  <c r="CP74" i="7" s="1"/>
  <c r="CM74" i="7"/>
  <c r="CK75" i="7"/>
  <c r="CO75" i="7" s="1"/>
  <c r="P73" i="22"/>
  <c r="Q74" i="22"/>
  <c r="BQ75" i="7"/>
  <c r="BV75" i="7" s="1"/>
  <c r="BW75" i="7" s="1"/>
  <c r="V72" i="22"/>
  <c r="AO78" i="7"/>
  <c r="AQ78" i="7"/>
  <c r="AR78" i="7" s="1"/>
  <c r="AS78" i="7" s="1"/>
  <c r="AP79" i="7"/>
  <c r="AY76" i="7"/>
  <c r="BC76" i="7" s="1"/>
  <c r="BD76" i="7" s="1"/>
  <c r="AM76" i="7"/>
  <c r="AF76" i="7" s="1"/>
  <c r="M76" i="7"/>
  <c r="Q76" i="7" s="1"/>
  <c r="R76" i="7" s="1"/>
  <c r="AZ76" i="7"/>
  <c r="AE75" i="7"/>
  <c r="BF77" i="7"/>
  <c r="AX77" i="7" s="1"/>
  <c r="T77" i="7"/>
  <c r="L77" i="7" s="1"/>
  <c r="CA77" i="7"/>
  <c r="CB78" i="7"/>
  <c r="CC77" i="7"/>
  <c r="CD77" i="7" s="1"/>
  <c r="CE77" i="7" s="1"/>
  <c r="W71" i="22"/>
  <c r="X71" i="22" s="1"/>
  <c r="CR76" i="7"/>
  <c r="CJ76" i="7" s="1"/>
  <c r="BI78" i="7"/>
  <c r="BJ77" i="7"/>
  <c r="BK77" i="7" s="1"/>
  <c r="BL77" i="7" s="1"/>
  <c r="BH77" i="7"/>
  <c r="X77" i="7"/>
  <c r="Y77" i="7" s="1"/>
  <c r="Z77" i="7" s="1"/>
  <c r="V77" i="7"/>
  <c r="W78" i="7"/>
  <c r="D79" i="7"/>
  <c r="E78" i="7"/>
  <c r="F78" i="7" s="1"/>
  <c r="G78" i="7" s="1"/>
  <c r="C78" i="7"/>
  <c r="BY76" i="7"/>
  <c r="BR76" i="7" s="1"/>
  <c r="Y71" i="22" l="1"/>
  <c r="A68" i="27"/>
  <c r="B70" i="28"/>
  <c r="C71" i="28"/>
  <c r="D70" i="28"/>
  <c r="K67" i="27"/>
  <c r="G67" i="27"/>
  <c r="F67" i="27"/>
  <c r="I67" i="27"/>
  <c r="H67" i="27"/>
  <c r="CP75" i="7"/>
  <c r="BS75" i="7"/>
  <c r="CK76" i="7"/>
  <c r="CO76" i="7" s="1"/>
  <c r="CP76" i="7" s="1"/>
  <c r="T78" i="7"/>
  <c r="L78" i="7" s="1"/>
  <c r="AO79" i="7"/>
  <c r="AP80" i="7"/>
  <c r="AQ79" i="7"/>
  <c r="AR79" i="7" s="1"/>
  <c r="AS79" i="7" s="1"/>
  <c r="V73" i="22"/>
  <c r="BQ76" i="7"/>
  <c r="M77" i="7"/>
  <c r="Q77" i="7" s="1"/>
  <c r="R77" i="7" s="1"/>
  <c r="AZ77" i="7"/>
  <c r="CL76" i="7"/>
  <c r="D80" i="7"/>
  <c r="E79" i="7"/>
  <c r="F79" i="7" s="1"/>
  <c r="G79" i="7" s="1"/>
  <c r="C79" i="7"/>
  <c r="AM77" i="7"/>
  <c r="AF77" i="7" s="1"/>
  <c r="W72" i="22"/>
  <c r="X72" i="22" s="1"/>
  <c r="BI79" i="7"/>
  <c r="BH78" i="7"/>
  <c r="BJ78" i="7"/>
  <c r="BK78" i="7" s="1"/>
  <c r="BL78" i="7" s="1"/>
  <c r="BF78" i="7"/>
  <c r="AY78" i="7" s="1"/>
  <c r="AG75" i="7"/>
  <c r="N77" i="7"/>
  <c r="X78" i="7"/>
  <c r="Y78" i="7" s="1"/>
  <c r="Z78" i="7" s="1"/>
  <c r="V78" i="7"/>
  <c r="W79" i="7"/>
  <c r="AY77" i="7"/>
  <c r="BC77" i="7" s="1"/>
  <c r="BD77" i="7" s="1"/>
  <c r="AE76" i="7"/>
  <c r="AJ75" i="7"/>
  <c r="AK75" i="7" s="1"/>
  <c r="BY77" i="7"/>
  <c r="BR77" i="7" s="1"/>
  <c r="CR77" i="7"/>
  <c r="CK77" i="7" s="1"/>
  <c r="P74" i="22"/>
  <c r="Q75" i="22"/>
  <c r="CC78" i="7"/>
  <c r="CD78" i="7" s="1"/>
  <c r="CE78" i="7" s="1"/>
  <c r="CA78" i="7"/>
  <c r="CB79" i="7"/>
  <c r="BS76" i="7" l="1"/>
  <c r="A69" i="27"/>
  <c r="C72" i="28"/>
  <c r="D71" i="28"/>
  <c r="B71" i="28"/>
  <c r="K68" i="27"/>
  <c r="H68" i="27"/>
  <c r="F68" i="27"/>
  <c r="I68" i="27"/>
  <c r="G68" i="27"/>
  <c r="M78" i="7"/>
  <c r="Q78" i="7" s="1"/>
  <c r="R78" i="7" s="1"/>
  <c r="AX78" i="7"/>
  <c r="BC78" i="7" s="1"/>
  <c r="BD78" i="7" s="1"/>
  <c r="CJ77" i="7"/>
  <c r="CO77" i="7" s="1"/>
  <c r="CP77" i="7" s="1"/>
  <c r="AE77" i="7"/>
  <c r="AJ77" i="7" s="1"/>
  <c r="W73" i="22"/>
  <c r="X73" i="22" s="1"/>
  <c r="BY78" i="7"/>
  <c r="BR78" i="7" s="1"/>
  <c r="BV76" i="7"/>
  <c r="BW76" i="7" s="1"/>
  <c r="T79" i="7"/>
  <c r="M79" i="7" s="1"/>
  <c r="BF79" i="7"/>
  <c r="AX79" i="7" s="1"/>
  <c r="AJ76" i="7"/>
  <c r="AK76" i="7" s="1"/>
  <c r="CB80" i="7"/>
  <c r="CC79" i="7"/>
  <c r="CD79" i="7" s="1"/>
  <c r="CE79" i="7" s="1"/>
  <c r="CA79" i="7"/>
  <c r="CR78" i="7"/>
  <c r="CJ78" i="7" s="1"/>
  <c r="AM78" i="7"/>
  <c r="AF78" i="7" s="1"/>
  <c r="BJ79" i="7"/>
  <c r="BK79" i="7" s="1"/>
  <c r="BL79" i="7" s="1"/>
  <c r="BI80" i="7"/>
  <c r="BH79" i="7"/>
  <c r="C80" i="7"/>
  <c r="D81" i="7"/>
  <c r="E80" i="7"/>
  <c r="F80" i="7" s="1"/>
  <c r="G80" i="7" s="1"/>
  <c r="AO80" i="7"/>
  <c r="AP81" i="7"/>
  <c r="AQ80" i="7"/>
  <c r="AR80" i="7" s="1"/>
  <c r="AS80" i="7" s="1"/>
  <c r="W80" i="7"/>
  <c r="X79" i="7"/>
  <c r="Y79" i="7" s="1"/>
  <c r="Z79" i="7" s="1"/>
  <c r="V79" i="7"/>
  <c r="BQ77" i="7"/>
  <c r="V74" i="22"/>
  <c r="N78" i="7"/>
  <c r="P75" i="22"/>
  <c r="Q76" i="22"/>
  <c r="AG76" i="7"/>
  <c r="A70" i="27" l="1"/>
  <c r="D72" i="28"/>
  <c r="B72" i="28"/>
  <c r="C73" i="28"/>
  <c r="K69" i="27"/>
  <c r="G69" i="27"/>
  <c r="F69" i="27"/>
  <c r="I69" i="27"/>
  <c r="H69" i="27"/>
  <c r="AZ78" i="7"/>
  <c r="AZ79" i="7" s="1"/>
  <c r="CL77" i="7"/>
  <c r="CL78" i="7" s="1"/>
  <c r="AG77" i="7"/>
  <c r="L79" i="7"/>
  <c r="Q79" i="7" s="1"/>
  <c r="R79" i="7" s="1"/>
  <c r="BQ78" i="7"/>
  <c r="BV78" i="7" s="1"/>
  <c r="AY79" i="7"/>
  <c r="BC79" i="7" s="1"/>
  <c r="BD79" i="7" s="1"/>
  <c r="AE78" i="7"/>
  <c r="AJ78" i="7" s="1"/>
  <c r="AK78" i="7" s="1"/>
  <c r="CK78" i="7"/>
  <c r="CO78" i="7" s="1"/>
  <c r="CP78" i="7" s="1"/>
  <c r="W81" i="7"/>
  <c r="X80" i="7"/>
  <c r="Y80" i="7" s="1"/>
  <c r="Z80" i="7" s="1"/>
  <c r="V80" i="7"/>
  <c r="BH80" i="7"/>
  <c r="BJ80" i="7"/>
  <c r="BK80" i="7" s="1"/>
  <c r="BL80" i="7" s="1"/>
  <c r="BI81" i="7"/>
  <c r="BS77" i="7"/>
  <c r="BY79" i="7"/>
  <c r="BQ79" i="7" s="1"/>
  <c r="CR79" i="7"/>
  <c r="CJ79" i="7" s="1"/>
  <c r="AP82" i="7"/>
  <c r="AQ81" i="7"/>
  <c r="AR81" i="7" s="1"/>
  <c r="AS81" i="7" s="1"/>
  <c r="AO81" i="7"/>
  <c r="CB81" i="7"/>
  <c r="CC80" i="7"/>
  <c r="CD80" i="7" s="1"/>
  <c r="CE80" i="7" s="1"/>
  <c r="CA80" i="7"/>
  <c r="BV77" i="7"/>
  <c r="BW77" i="7" s="1"/>
  <c r="BF80" i="7"/>
  <c r="AY80" i="7" s="1"/>
  <c r="AM79" i="7"/>
  <c r="AF79" i="7" s="1"/>
  <c r="W74" i="22"/>
  <c r="X74" i="22"/>
  <c r="T80" i="7"/>
  <c r="L80" i="7" s="1"/>
  <c r="AK77" i="7"/>
  <c r="V75" i="22"/>
  <c r="P76" i="22"/>
  <c r="Q77" i="22"/>
  <c r="E81" i="7"/>
  <c r="F81" i="7" s="1"/>
  <c r="G81" i="7" s="1"/>
  <c r="D82" i="7"/>
  <c r="C81" i="7"/>
  <c r="A71" i="27" l="1"/>
  <c r="B73" i="28"/>
  <c r="C74" i="28"/>
  <c r="D73" i="28"/>
  <c r="K70" i="27"/>
  <c r="F70" i="27"/>
  <c r="H70" i="27"/>
  <c r="I70" i="27"/>
  <c r="G70" i="27"/>
  <c r="N79" i="7"/>
  <c r="N80" i="7" s="1"/>
  <c r="AX80" i="7"/>
  <c r="AZ80" i="7" s="1"/>
  <c r="BS78" i="7"/>
  <c r="BS79" i="7" s="1"/>
  <c r="M80" i="7"/>
  <c r="Q80" i="7" s="1"/>
  <c r="R80" i="7" s="1"/>
  <c r="AE79" i="7"/>
  <c r="AJ79" i="7" s="1"/>
  <c r="AK79" i="7" s="1"/>
  <c r="CK79" i="7"/>
  <c r="CO79" i="7" s="1"/>
  <c r="CP79" i="7" s="1"/>
  <c r="BR79" i="7"/>
  <c r="BV79" i="7" s="1"/>
  <c r="BW79" i="7" s="1"/>
  <c r="AG78" i="7"/>
  <c r="CR80" i="7"/>
  <c r="CK80" i="7" s="1"/>
  <c r="P77" i="22"/>
  <c r="Q78" i="22"/>
  <c r="AM80" i="7"/>
  <c r="AF80" i="7" s="1"/>
  <c r="T81" i="7"/>
  <c r="M81" i="7" s="1"/>
  <c r="CA81" i="7"/>
  <c r="CB82" i="7"/>
  <c r="CC81" i="7"/>
  <c r="CD81" i="7" s="1"/>
  <c r="CE81" i="7" s="1"/>
  <c r="BF81" i="7"/>
  <c r="AY81" i="7" s="1"/>
  <c r="W82" i="7"/>
  <c r="V81" i="7"/>
  <c r="X81" i="7"/>
  <c r="Y81" i="7" s="1"/>
  <c r="Z81" i="7" s="1"/>
  <c r="AP83" i="7"/>
  <c r="AQ82" i="7"/>
  <c r="AR82" i="7" s="1"/>
  <c r="AS82" i="7" s="1"/>
  <c r="AO82" i="7"/>
  <c r="W75" i="22"/>
  <c r="X75" i="22" s="1"/>
  <c r="V76" i="22"/>
  <c r="CL79" i="7"/>
  <c r="BI82" i="7"/>
  <c r="BJ81" i="7"/>
  <c r="BK81" i="7" s="1"/>
  <c r="BL81" i="7" s="1"/>
  <c r="BH81" i="7"/>
  <c r="BW78" i="7"/>
  <c r="E82" i="7"/>
  <c r="F82" i="7" s="1"/>
  <c r="G82" i="7" s="1"/>
  <c r="C82" i="7"/>
  <c r="D83" i="7"/>
  <c r="BY80" i="7"/>
  <c r="BR80" i="7" s="1"/>
  <c r="A72" i="27" l="1"/>
  <c r="C75" i="28"/>
  <c r="D74" i="28"/>
  <c r="B74" i="28"/>
  <c r="K71" i="27"/>
  <c r="G71" i="27"/>
  <c r="F71" i="27"/>
  <c r="I71" i="27"/>
  <c r="H71" i="27"/>
  <c r="BC80" i="7"/>
  <c r="BD80" i="7" s="1"/>
  <c r="AG79" i="7"/>
  <c r="L81" i="7"/>
  <c r="Q81" i="7" s="1"/>
  <c r="R81" i="7" s="1"/>
  <c r="AX81" i="7"/>
  <c r="AZ81" i="7" s="1"/>
  <c r="CJ80" i="7"/>
  <c r="CO80" i="7" s="1"/>
  <c r="CP80" i="7" s="1"/>
  <c r="BQ80" i="7"/>
  <c r="BV80" i="7" s="1"/>
  <c r="BW80" i="7" s="1"/>
  <c r="AM81" i="7"/>
  <c r="AF81" i="7" s="1"/>
  <c r="P78" i="22"/>
  <c r="Q79" i="22"/>
  <c r="BJ82" i="7"/>
  <c r="BK82" i="7" s="1"/>
  <c r="BL82" i="7" s="1"/>
  <c r="BH82" i="7"/>
  <c r="BI83" i="7"/>
  <c r="V82" i="7"/>
  <c r="W83" i="7"/>
  <c r="X82" i="7"/>
  <c r="Y82" i="7" s="1"/>
  <c r="Z82" i="7" s="1"/>
  <c r="V77" i="22"/>
  <c r="D84" i="7"/>
  <c r="E83" i="7"/>
  <c r="F83" i="7" s="1"/>
  <c r="G83" i="7" s="1"/>
  <c r="C83" i="7"/>
  <c r="X76" i="22"/>
  <c r="W76" i="22"/>
  <c r="AE80" i="7"/>
  <c r="BY81" i="7"/>
  <c r="BR81" i="7" s="1"/>
  <c r="T82" i="7"/>
  <c r="M82" i="7" s="1"/>
  <c r="BF82" i="7"/>
  <c r="AX82" i="7" s="1"/>
  <c r="AQ83" i="7"/>
  <c r="AR83" i="7" s="1"/>
  <c r="AS83" i="7" s="1"/>
  <c r="AO83" i="7"/>
  <c r="AP84" i="7"/>
  <c r="CR81" i="7"/>
  <c r="CJ81" i="7" s="1"/>
  <c r="CC82" i="7"/>
  <c r="CD82" i="7" s="1"/>
  <c r="CE82" i="7" s="1"/>
  <c r="CA82" i="7"/>
  <c r="CB83" i="7"/>
  <c r="AG80" i="7" l="1"/>
  <c r="A73" i="27"/>
  <c r="D75" i="28"/>
  <c r="B75" i="28"/>
  <c r="C76" i="28"/>
  <c r="K72" i="27"/>
  <c r="H72" i="27"/>
  <c r="I72" i="27"/>
  <c r="G72" i="27"/>
  <c r="F72" i="27"/>
  <c r="N81" i="7"/>
  <c r="BQ81" i="7"/>
  <c r="BV81" i="7" s="1"/>
  <c r="BW81" i="7" s="1"/>
  <c r="CK81" i="7"/>
  <c r="CO81" i="7" s="1"/>
  <c r="CP81" i="7" s="1"/>
  <c r="BC81" i="7"/>
  <c r="BD81" i="7" s="1"/>
  <c r="CL80" i="7"/>
  <c r="CL81" i="7" s="1"/>
  <c r="AZ82" i="7"/>
  <c r="BS80" i="7"/>
  <c r="L82" i="7"/>
  <c r="Q82" i="7" s="1"/>
  <c r="R82" i="7" s="1"/>
  <c r="V78" i="22"/>
  <c r="CA83" i="7"/>
  <c r="CB84" i="7"/>
  <c r="CC83" i="7"/>
  <c r="CD83" i="7" s="1"/>
  <c r="CE83" i="7" s="1"/>
  <c r="AP85" i="7"/>
  <c r="AQ84" i="7"/>
  <c r="AR84" i="7" s="1"/>
  <c r="AS84" i="7" s="1"/>
  <c r="AO84" i="7"/>
  <c r="T83" i="7"/>
  <c r="L83" i="7" s="1"/>
  <c r="X83" i="7"/>
  <c r="Y83" i="7" s="1"/>
  <c r="Z83" i="7" s="1"/>
  <c r="V83" i="7"/>
  <c r="W84" i="7"/>
  <c r="BF83" i="7"/>
  <c r="AY83" i="7" s="1"/>
  <c r="E84" i="7"/>
  <c r="F84" i="7" s="1"/>
  <c r="G84" i="7" s="1"/>
  <c r="C84" i="7"/>
  <c r="D85" i="7"/>
  <c r="BI84" i="7"/>
  <c r="BJ83" i="7"/>
  <c r="BK83" i="7" s="1"/>
  <c r="BL83" i="7" s="1"/>
  <c r="BH83" i="7"/>
  <c r="AE81" i="7"/>
  <c r="AJ81" i="7" s="1"/>
  <c r="CR82" i="7"/>
  <c r="CJ82" i="7" s="1"/>
  <c r="AY82" i="7"/>
  <c r="BC82" i="7" s="1"/>
  <c r="W77" i="22"/>
  <c r="X77" i="22" s="1"/>
  <c r="BY82" i="7"/>
  <c r="BR82" i="7" s="1"/>
  <c r="P79" i="22"/>
  <c r="Q80" i="22"/>
  <c r="AJ80" i="7"/>
  <c r="AK80" i="7" s="1"/>
  <c r="AM82" i="7"/>
  <c r="AF82" i="7" s="1"/>
  <c r="BD82" i="7" l="1"/>
  <c r="A74" i="27"/>
  <c r="C77" i="28"/>
  <c r="D76" i="28"/>
  <c r="B76" i="28"/>
  <c r="K73" i="27"/>
  <c r="F73" i="27"/>
  <c r="I73" i="27"/>
  <c r="H73" i="27"/>
  <c r="G73" i="27"/>
  <c r="N82" i="7"/>
  <c r="N83" i="7" s="1"/>
  <c r="BS81" i="7"/>
  <c r="AG81" i="7"/>
  <c r="CL82" i="7"/>
  <c r="CK82" i="7"/>
  <c r="CO82" i="7" s="1"/>
  <c r="CP82" i="7" s="1"/>
  <c r="AK81" i="7"/>
  <c r="AE82" i="7"/>
  <c r="AJ82" i="7" s="1"/>
  <c r="AK82" i="7" s="1"/>
  <c r="E85" i="7"/>
  <c r="F85" i="7" s="1"/>
  <c r="G85" i="7" s="1"/>
  <c r="D86" i="7"/>
  <c r="C85" i="7"/>
  <c r="AM83" i="7"/>
  <c r="AF83" i="7" s="1"/>
  <c r="CB85" i="7"/>
  <c r="CC84" i="7"/>
  <c r="CD84" i="7" s="1"/>
  <c r="CE84" i="7" s="1"/>
  <c r="CA84" i="7"/>
  <c r="BQ82" i="7"/>
  <c r="M83" i="7"/>
  <c r="Q83" i="7" s="1"/>
  <c r="R83" i="7" s="1"/>
  <c r="T84" i="7"/>
  <c r="L84" i="7" s="1"/>
  <c r="BI85" i="7"/>
  <c r="BJ84" i="7"/>
  <c r="BK84" i="7" s="1"/>
  <c r="BL84" i="7" s="1"/>
  <c r="BH84" i="7"/>
  <c r="P80" i="22"/>
  <c r="Q81" i="22"/>
  <c r="AX83" i="7"/>
  <c r="AZ83" i="7" s="1"/>
  <c r="W78" i="22"/>
  <c r="X78" i="22" s="1"/>
  <c r="CR83" i="7"/>
  <c r="CK83" i="7" s="1"/>
  <c r="V79" i="22"/>
  <c r="BF84" i="7"/>
  <c r="AX84" i="7" s="1"/>
  <c r="BY83" i="7"/>
  <c r="BR83" i="7" s="1"/>
  <c r="X84" i="7"/>
  <c r="Y84" i="7" s="1"/>
  <c r="Z84" i="7" s="1"/>
  <c r="W85" i="7"/>
  <c r="V84" i="7"/>
  <c r="AO85" i="7"/>
  <c r="AQ85" i="7"/>
  <c r="AR85" i="7" s="1"/>
  <c r="AS85" i="7" s="1"/>
  <c r="AP86" i="7"/>
  <c r="BS82" i="7" l="1"/>
  <c r="A75" i="27"/>
  <c r="C78" i="28"/>
  <c r="D77" i="28"/>
  <c r="B77" i="28"/>
  <c r="K74" i="27"/>
  <c r="H74" i="27"/>
  <c r="I74" i="27"/>
  <c r="G74" i="27"/>
  <c r="F74" i="27"/>
  <c r="AG82" i="7"/>
  <c r="AY84" i="7"/>
  <c r="BC84" i="7" s="1"/>
  <c r="N84" i="7"/>
  <c r="E86" i="7"/>
  <c r="F86" i="7" s="1"/>
  <c r="G86" i="7" s="1"/>
  <c r="D87" i="7"/>
  <c r="C86" i="7"/>
  <c r="BY84" i="7"/>
  <c r="BR84" i="7" s="1"/>
  <c r="T85" i="7"/>
  <c r="M85" i="7" s="1"/>
  <c r="BH85" i="7"/>
  <c r="BI86" i="7"/>
  <c r="BJ85" i="7"/>
  <c r="BK85" i="7" s="1"/>
  <c r="BL85" i="7" s="1"/>
  <c r="CR84" i="7"/>
  <c r="CK84" i="7" s="1"/>
  <c r="CC85" i="7"/>
  <c r="CD85" i="7" s="1"/>
  <c r="CE85" i="7" s="1"/>
  <c r="CA85" i="7"/>
  <c r="CB86" i="7"/>
  <c r="BF85" i="7"/>
  <c r="AY85" i="7" s="1"/>
  <c r="X85" i="7"/>
  <c r="Y85" i="7" s="1"/>
  <c r="Z85" i="7" s="1"/>
  <c r="W86" i="7"/>
  <c r="V85" i="7"/>
  <c r="AM84" i="7"/>
  <c r="AE84" i="7" s="1"/>
  <c r="M84" i="7"/>
  <c r="Q84" i="7" s="1"/>
  <c r="R84" i="7" s="1"/>
  <c r="X79" i="22"/>
  <c r="W79" i="22"/>
  <c r="AZ84" i="7"/>
  <c r="BQ83" i="7"/>
  <c r="BV83" i="7" s="1"/>
  <c r="CJ83" i="7"/>
  <c r="CL83" i="7" s="1"/>
  <c r="P81" i="22"/>
  <c r="Q82" i="22"/>
  <c r="AE83" i="7"/>
  <c r="AJ83" i="7" s="1"/>
  <c r="AK83" i="7" s="1"/>
  <c r="BV82" i="7"/>
  <c r="BW82" i="7" s="1"/>
  <c r="AQ86" i="7"/>
  <c r="AR86" i="7" s="1"/>
  <c r="AS86" i="7" s="1"/>
  <c r="AP87" i="7"/>
  <c r="AO86" i="7"/>
  <c r="V80" i="22"/>
  <c r="BC83" i="7"/>
  <c r="BD83" i="7" s="1"/>
  <c r="A76" i="27" l="1"/>
  <c r="B78" i="28"/>
  <c r="C79" i="28"/>
  <c r="D78" i="28"/>
  <c r="K75" i="27"/>
  <c r="I75" i="27"/>
  <c r="H75" i="27"/>
  <c r="F75" i="27"/>
  <c r="G75" i="27"/>
  <c r="BW83" i="7"/>
  <c r="AF84" i="7"/>
  <c r="AJ84" i="7" s="1"/>
  <c r="AK84" i="7" s="1"/>
  <c r="CJ84" i="7"/>
  <c r="CL84" i="7" s="1"/>
  <c r="L85" i="7"/>
  <c r="Q85" i="7" s="1"/>
  <c r="R85" i="7" s="1"/>
  <c r="AX85" i="7"/>
  <c r="AZ85" i="7" s="1"/>
  <c r="BF86" i="7"/>
  <c r="AY86" i="7" s="1"/>
  <c r="CR85" i="7"/>
  <c r="CK85" i="7" s="1"/>
  <c r="AG83" i="7"/>
  <c r="AG84" i="7" s="1"/>
  <c r="T86" i="7"/>
  <c r="M86" i="7" s="1"/>
  <c r="X86" i="7"/>
  <c r="Y86" i="7" s="1"/>
  <c r="Z86" i="7" s="1"/>
  <c r="V86" i="7"/>
  <c r="W87" i="7"/>
  <c r="AP88" i="7"/>
  <c r="AQ87" i="7"/>
  <c r="AR87" i="7" s="1"/>
  <c r="AS87" i="7" s="1"/>
  <c r="AO87" i="7"/>
  <c r="BD84" i="7"/>
  <c r="AM85" i="7"/>
  <c r="AF85" i="7" s="1"/>
  <c r="P82" i="22"/>
  <c r="Q83" i="22"/>
  <c r="BQ84" i="7"/>
  <c r="BV84" i="7" s="1"/>
  <c r="BW84" i="7" s="1"/>
  <c r="BS83" i="7"/>
  <c r="BY85" i="7"/>
  <c r="BR85" i="7" s="1"/>
  <c r="CO83" i="7"/>
  <c r="CP83" i="7" s="1"/>
  <c r="V81" i="22"/>
  <c r="BJ86" i="7"/>
  <c r="BK86" i="7" s="1"/>
  <c r="BL86" i="7" s="1"/>
  <c r="BI87" i="7"/>
  <c r="BH86" i="7"/>
  <c r="X80" i="22"/>
  <c r="W80" i="22"/>
  <c r="CC86" i="7"/>
  <c r="CD86" i="7" s="1"/>
  <c r="CE86" i="7" s="1"/>
  <c r="CB87" i="7"/>
  <c r="CA86" i="7"/>
  <c r="E87" i="7"/>
  <c r="F87" i="7" s="1"/>
  <c r="G87" i="7" s="1"/>
  <c r="C87" i="7"/>
  <c r="D88" i="7"/>
  <c r="A77" i="27" l="1"/>
  <c r="C80" i="28"/>
  <c r="D79" i="28"/>
  <c r="B79" i="28"/>
  <c r="K76" i="27"/>
  <c r="H76" i="27"/>
  <c r="I76" i="27"/>
  <c r="G76" i="27"/>
  <c r="F76" i="27"/>
  <c r="N85" i="7"/>
  <c r="AE85" i="7"/>
  <c r="AJ85" i="7" s="1"/>
  <c r="AK85" i="7" s="1"/>
  <c r="CO84" i="7"/>
  <c r="CP84" i="7" s="1"/>
  <c r="BC85" i="7"/>
  <c r="BD85" i="7" s="1"/>
  <c r="BJ87" i="7"/>
  <c r="BK87" i="7" s="1"/>
  <c r="BL87" i="7" s="1"/>
  <c r="BI88" i="7"/>
  <c r="BH87" i="7"/>
  <c r="BQ85" i="7"/>
  <c r="BV85" i="7" s="1"/>
  <c r="BW85" i="7" s="1"/>
  <c r="W88" i="7"/>
  <c r="V87" i="7"/>
  <c r="X87" i="7"/>
  <c r="Y87" i="7" s="1"/>
  <c r="Z87" i="7" s="1"/>
  <c r="CJ85" i="7"/>
  <c r="CL85" i="7" s="1"/>
  <c r="AP89" i="7"/>
  <c r="AQ88" i="7"/>
  <c r="AR88" i="7" s="1"/>
  <c r="AS88" i="7" s="1"/>
  <c r="AO88" i="7"/>
  <c r="W81" i="22"/>
  <c r="X81" i="22"/>
  <c r="BS84" i="7"/>
  <c r="CR86" i="7"/>
  <c r="CJ86" i="7" s="1"/>
  <c r="AM86" i="7"/>
  <c r="AE86" i="7" s="1"/>
  <c r="T87" i="7"/>
  <c r="M87" i="7" s="1"/>
  <c r="CB88" i="7"/>
  <c r="CC87" i="7"/>
  <c r="CD87" i="7" s="1"/>
  <c r="CE87" i="7" s="1"/>
  <c r="CA87" i="7"/>
  <c r="P83" i="22"/>
  <c r="Q84" i="22"/>
  <c r="AX86" i="7"/>
  <c r="L86" i="7"/>
  <c r="BY86" i="7"/>
  <c r="BQ86" i="7" s="1"/>
  <c r="D89" i="7"/>
  <c r="C88" i="7"/>
  <c r="Y80" i="22" s="1"/>
  <c r="E88" i="7"/>
  <c r="F88" i="7" s="1"/>
  <c r="G88" i="7" s="1"/>
  <c r="V82" i="22"/>
  <c r="BF87" i="7"/>
  <c r="AX87" i="7" s="1"/>
  <c r="Y81" i="22" l="1"/>
  <c r="Y72" i="22"/>
  <c r="Y73" i="22"/>
  <c r="Y74" i="22"/>
  <c r="Y75" i="22"/>
  <c r="Y76" i="22"/>
  <c r="Y77" i="22"/>
  <c r="Y78" i="22"/>
  <c r="Y79" i="22"/>
  <c r="A78" i="27"/>
  <c r="D80" i="28"/>
  <c r="B80" i="28"/>
  <c r="C81" i="28"/>
  <c r="K77" i="27"/>
  <c r="I77" i="27"/>
  <c r="H77" i="27"/>
  <c r="G77" i="27"/>
  <c r="F77" i="27"/>
  <c r="L87" i="7"/>
  <c r="AG85" i="7"/>
  <c r="AG86" i="7" s="1"/>
  <c r="AA8" i="7"/>
  <c r="AH86" i="7"/>
  <c r="CF8" i="7"/>
  <c r="CM86" i="7"/>
  <c r="BM8" i="7"/>
  <c r="BT86" i="7"/>
  <c r="BR86" i="7"/>
  <c r="BV86" i="7" s="1"/>
  <c r="BW86" i="7" s="1"/>
  <c r="AF86" i="7"/>
  <c r="AJ86" i="7" s="1"/>
  <c r="AK86" i="7" s="1"/>
  <c r="BF88" i="7"/>
  <c r="AX88" i="7" s="1"/>
  <c r="CR87" i="7"/>
  <c r="CK87" i="7" s="1"/>
  <c r="AQ89" i="7"/>
  <c r="AR89" i="7" s="1"/>
  <c r="AS89" i="7" s="1"/>
  <c r="AP90" i="7"/>
  <c r="AO89" i="7"/>
  <c r="BJ88" i="7"/>
  <c r="BK88" i="7" s="1"/>
  <c r="BL88" i="7" s="1"/>
  <c r="BI89" i="7"/>
  <c r="BH88" i="7"/>
  <c r="AY87" i="7"/>
  <c r="BC87" i="7" s="1"/>
  <c r="CL86" i="7"/>
  <c r="BY87" i="7"/>
  <c r="BQ87" i="7" s="1"/>
  <c r="AT8" i="7"/>
  <c r="BA86" i="7"/>
  <c r="AZ86" i="7"/>
  <c r="AZ87" i="7" s="1"/>
  <c r="CK86" i="7"/>
  <c r="CO86" i="7" s="1"/>
  <c r="AM87" i="7"/>
  <c r="AF87" i="7" s="1"/>
  <c r="BC86" i="7"/>
  <c r="BD86" i="7" s="1"/>
  <c r="H8" i="7"/>
  <c r="O86" i="7"/>
  <c r="P84" i="22"/>
  <c r="Q85" i="22"/>
  <c r="BS85" i="7"/>
  <c r="BS86" i="7" s="1"/>
  <c r="CO85" i="7"/>
  <c r="CP85" i="7" s="1"/>
  <c r="W82" i="22"/>
  <c r="X82" i="22"/>
  <c r="Y82" i="22" s="1"/>
  <c r="T88" i="7"/>
  <c r="M88" i="7" s="1"/>
  <c r="C89" i="7"/>
  <c r="D90" i="7"/>
  <c r="E89" i="7"/>
  <c r="F89" i="7" s="1"/>
  <c r="G89" i="7" s="1"/>
  <c r="W89" i="7"/>
  <c r="X88" i="7"/>
  <c r="Y88" i="7" s="1"/>
  <c r="Z88" i="7" s="1"/>
  <c r="V88" i="7"/>
  <c r="Q86" i="7"/>
  <c r="R86" i="7" s="1"/>
  <c r="CC88" i="7"/>
  <c r="CD88" i="7" s="1"/>
  <c r="CE88" i="7" s="1"/>
  <c r="CA88" i="7"/>
  <c r="CB89" i="7"/>
  <c r="V83" i="22"/>
  <c r="N86" i="7"/>
  <c r="Q87" i="7" l="1"/>
  <c r="R87" i="7" s="1"/>
  <c r="N87" i="7"/>
  <c r="A79" i="27"/>
  <c r="B81" i="28"/>
  <c r="C82" i="28"/>
  <c r="D81" i="28"/>
  <c r="K78" i="27"/>
  <c r="I78" i="27"/>
  <c r="G78" i="27"/>
  <c r="F78" i="27"/>
  <c r="H78" i="27"/>
  <c r="AY88" i="7"/>
  <c r="BC88" i="7" s="1"/>
  <c r="BD88" i="7" s="1"/>
  <c r="AE87" i="7"/>
  <c r="AJ87" i="7" s="1"/>
  <c r="AK87" i="7" s="1"/>
  <c r="CJ87" i="7"/>
  <c r="CO87" i="7" s="1"/>
  <c r="CP87" i="7" s="1"/>
  <c r="BD87" i="7"/>
  <c r="L88" i="7"/>
  <c r="CP86" i="7"/>
  <c r="V84" i="22"/>
  <c r="W83" i="22"/>
  <c r="X83" i="22" s="1"/>
  <c r="AZ88" i="7"/>
  <c r="AM88" i="7"/>
  <c r="AE88" i="7" s="1"/>
  <c r="V89" i="7"/>
  <c r="W90" i="7"/>
  <c r="X89" i="7"/>
  <c r="Y89" i="7" s="1"/>
  <c r="Z89" i="7" s="1"/>
  <c r="BI90" i="7"/>
  <c r="BJ89" i="7"/>
  <c r="BK89" i="7" s="1"/>
  <c r="BL89" i="7" s="1"/>
  <c r="BH89" i="7"/>
  <c r="BY88" i="7"/>
  <c r="BR88" i="7" s="1"/>
  <c r="CB90" i="7"/>
  <c r="CC89" i="7"/>
  <c r="CD89" i="7" s="1"/>
  <c r="CE89" i="7" s="1"/>
  <c r="CA89" i="7"/>
  <c r="D91" i="7"/>
  <c r="C90" i="7"/>
  <c r="E90" i="7"/>
  <c r="F90" i="7" s="1"/>
  <c r="G90" i="7" s="1"/>
  <c r="BS87" i="7"/>
  <c r="BR87" i="7"/>
  <c r="BV87" i="7" s="1"/>
  <c r="BW87" i="7" s="1"/>
  <c r="T89" i="7"/>
  <c r="L89" i="7" s="1"/>
  <c r="AO90" i="7"/>
  <c r="AQ90" i="7"/>
  <c r="AR90" i="7" s="1"/>
  <c r="AS90" i="7" s="1"/>
  <c r="AP91" i="7"/>
  <c r="CR88" i="7"/>
  <c r="CJ88" i="7" s="1"/>
  <c r="P85" i="22"/>
  <c r="Q86" i="22"/>
  <c r="BF89" i="7"/>
  <c r="AY89" i="7" s="1"/>
  <c r="Q88" i="7" l="1"/>
  <c r="R88" i="7" s="1"/>
  <c r="A80" i="27"/>
  <c r="C83" i="28"/>
  <c r="D82" i="28"/>
  <c r="B82" i="28"/>
  <c r="K79" i="27"/>
  <c r="H79" i="27"/>
  <c r="G79" i="27"/>
  <c r="F79" i="27"/>
  <c r="I79" i="27"/>
  <c r="AG87" i="7"/>
  <c r="AG88" i="7" s="1"/>
  <c r="CL87" i="7"/>
  <c r="CL88" i="7" s="1"/>
  <c r="CK88" i="7"/>
  <c r="CO88" i="7" s="1"/>
  <c r="CP88" i="7" s="1"/>
  <c r="BQ88" i="7"/>
  <c r="BV88" i="7" s="1"/>
  <c r="BW88" i="7" s="1"/>
  <c r="AF88" i="7"/>
  <c r="AJ88" i="7" s="1"/>
  <c r="AK88" i="7" s="1"/>
  <c r="N88" i="7"/>
  <c r="N89" i="7" s="1"/>
  <c r="AM89" i="7"/>
  <c r="AE89" i="7" s="1"/>
  <c r="P86" i="22"/>
  <c r="Q87" i="22"/>
  <c r="V85" i="22"/>
  <c r="M89" i="7"/>
  <c r="Q89" i="7" s="1"/>
  <c r="E91" i="7"/>
  <c r="F91" i="7" s="1"/>
  <c r="G91" i="7" s="1"/>
  <c r="D92" i="7"/>
  <c r="C91" i="7"/>
  <c r="W84" i="22"/>
  <c r="X84" i="22" s="1"/>
  <c r="W91" i="7"/>
  <c r="X90" i="7"/>
  <c r="Y90" i="7" s="1"/>
  <c r="Z90" i="7" s="1"/>
  <c r="V90" i="7"/>
  <c r="CR89" i="7"/>
  <c r="CK89" i="7" s="1"/>
  <c r="T90" i="7"/>
  <c r="L90" i="7" s="1"/>
  <c r="CC90" i="7"/>
  <c r="CD90" i="7" s="1"/>
  <c r="CE90" i="7" s="1"/>
  <c r="CA90" i="7"/>
  <c r="CB91" i="7"/>
  <c r="AX89" i="7"/>
  <c r="BY89" i="7"/>
  <c r="BR89" i="7" s="1"/>
  <c r="BF90" i="7"/>
  <c r="AY90" i="7" s="1"/>
  <c r="AP92" i="7"/>
  <c r="AO91" i="7"/>
  <c r="AQ91" i="7"/>
  <c r="AR91" i="7" s="1"/>
  <c r="AS91" i="7" s="1"/>
  <c r="BH90" i="7"/>
  <c r="BJ90" i="7"/>
  <c r="BK90" i="7" s="1"/>
  <c r="BL90" i="7" s="1"/>
  <c r="BI91" i="7"/>
  <c r="R89" i="7" l="1"/>
  <c r="A81" i="27"/>
  <c r="D83" i="28"/>
  <c r="B83" i="28"/>
  <c r="C84" i="28"/>
  <c r="K80" i="27"/>
  <c r="I80" i="27"/>
  <c r="G80" i="27"/>
  <c r="F80" i="27"/>
  <c r="H80" i="27"/>
  <c r="BS88" i="7"/>
  <c r="M90" i="7"/>
  <c r="Q90" i="7" s="1"/>
  <c r="R90" i="7" s="1"/>
  <c r="BQ89" i="7"/>
  <c r="AF89" i="7"/>
  <c r="AJ89" i="7" s="1"/>
  <c r="AK89" i="7" s="1"/>
  <c r="AM90" i="7"/>
  <c r="AE90" i="7" s="1"/>
  <c r="X85" i="22"/>
  <c r="W85" i="22"/>
  <c r="W92" i="7"/>
  <c r="X91" i="7"/>
  <c r="Y91" i="7" s="1"/>
  <c r="Z91" i="7" s="1"/>
  <c r="V91" i="7"/>
  <c r="AG89" i="7"/>
  <c r="P87" i="22"/>
  <c r="Q88" i="22"/>
  <c r="BC89" i="7"/>
  <c r="BD89" i="7" s="1"/>
  <c r="T91" i="7"/>
  <c r="L91" i="7" s="1"/>
  <c r="AQ92" i="7"/>
  <c r="AR92" i="7" s="1"/>
  <c r="AS92" i="7" s="1"/>
  <c r="AO92" i="7"/>
  <c r="AP93" i="7"/>
  <c r="CB92" i="7"/>
  <c r="CC91" i="7"/>
  <c r="CD91" i="7" s="1"/>
  <c r="CE91" i="7" s="1"/>
  <c r="CA91" i="7"/>
  <c r="BF91" i="7"/>
  <c r="AY91" i="7" s="1"/>
  <c r="AZ89" i="7"/>
  <c r="BI92" i="7"/>
  <c r="BJ91" i="7"/>
  <c r="BK91" i="7" s="1"/>
  <c r="BL91" i="7" s="1"/>
  <c r="BH91" i="7"/>
  <c r="AX90" i="7"/>
  <c r="BC90" i="7" s="1"/>
  <c r="BY90" i="7"/>
  <c r="BQ90" i="7" s="1"/>
  <c r="CJ89" i="7"/>
  <c r="CL89" i="7" s="1"/>
  <c r="V86" i="22"/>
  <c r="N90" i="7"/>
  <c r="CR90" i="7"/>
  <c r="CK90" i="7" s="1"/>
  <c r="C92" i="7"/>
  <c r="D93" i="7"/>
  <c r="E92" i="7"/>
  <c r="F92" i="7" s="1"/>
  <c r="G92" i="7" s="1"/>
  <c r="A82" i="27" l="1"/>
  <c r="C85" i="28"/>
  <c r="D84" i="28"/>
  <c r="B84" i="28"/>
  <c r="K81" i="27"/>
  <c r="G81" i="27"/>
  <c r="F81" i="27"/>
  <c r="H81" i="27"/>
  <c r="I81" i="27"/>
  <c r="BD90" i="7"/>
  <c r="AX91" i="7"/>
  <c r="BC91" i="7" s="1"/>
  <c r="BD91" i="7" s="1"/>
  <c r="AF90" i="7"/>
  <c r="AJ90" i="7" s="1"/>
  <c r="AK90" i="7" s="1"/>
  <c r="BR90" i="7"/>
  <c r="BV90" i="7" s="1"/>
  <c r="AZ90" i="7"/>
  <c r="M91" i="7"/>
  <c r="Q91" i="7" s="1"/>
  <c r="R91" i="7" s="1"/>
  <c r="N91" i="7"/>
  <c r="BY91" i="7"/>
  <c r="BR91" i="7" s="1"/>
  <c r="CB93" i="7"/>
  <c r="CC92" i="7"/>
  <c r="CD92" i="7" s="1"/>
  <c r="CE92" i="7" s="1"/>
  <c r="CA92" i="7"/>
  <c r="AP94" i="7"/>
  <c r="AQ93" i="7"/>
  <c r="AR93" i="7" s="1"/>
  <c r="AS93" i="7" s="1"/>
  <c r="AO93" i="7"/>
  <c r="AM91" i="7"/>
  <c r="AF91" i="7" s="1"/>
  <c r="T92" i="7"/>
  <c r="L92" i="7" s="1"/>
  <c r="V92" i="7"/>
  <c r="X92" i="7"/>
  <c r="Y92" i="7" s="1"/>
  <c r="Z92" i="7" s="1"/>
  <c r="W93" i="7"/>
  <c r="BH92" i="7"/>
  <c r="BJ92" i="7"/>
  <c r="BK92" i="7" s="1"/>
  <c r="BL92" i="7" s="1"/>
  <c r="BI93" i="7"/>
  <c r="V87" i="22"/>
  <c r="BS89" i="7"/>
  <c r="BS90" i="7" s="1"/>
  <c r="CO89" i="7"/>
  <c r="CP89" i="7" s="1"/>
  <c r="CR91" i="7"/>
  <c r="CK91" i="7" s="1"/>
  <c r="W86" i="22"/>
  <c r="X86" i="22"/>
  <c r="P88" i="22"/>
  <c r="Q89" i="22"/>
  <c r="BF92" i="7"/>
  <c r="AY92" i="7" s="1"/>
  <c r="CJ90" i="7"/>
  <c r="CO90" i="7" s="1"/>
  <c r="BV89" i="7"/>
  <c r="BW89" i="7" s="1"/>
  <c r="E93" i="7"/>
  <c r="F93" i="7" s="1"/>
  <c r="G93" i="7" s="1"/>
  <c r="D94" i="7"/>
  <c r="C93" i="7"/>
  <c r="AG90" i="7"/>
  <c r="Y86" i="22" l="1"/>
  <c r="Y83" i="22"/>
  <c r="Y84" i="22"/>
  <c r="Y85" i="22"/>
  <c r="CP90" i="7"/>
  <c r="A83" i="27"/>
  <c r="C86" i="28"/>
  <c r="D85" i="28"/>
  <c r="B85" i="28"/>
  <c r="K82" i="27"/>
  <c r="I82" i="27"/>
  <c r="G82" i="27"/>
  <c r="H82" i="27"/>
  <c r="F82" i="27"/>
  <c r="AZ91" i="7"/>
  <c r="BQ91" i="7"/>
  <c r="BS91" i="7" s="1"/>
  <c r="T93" i="7"/>
  <c r="M93" i="7" s="1"/>
  <c r="P89" i="22"/>
  <c r="Q90" i="22"/>
  <c r="BI94" i="7"/>
  <c r="BH93" i="7"/>
  <c r="BJ93" i="7"/>
  <c r="BK93" i="7" s="1"/>
  <c r="BL93" i="7" s="1"/>
  <c r="M92" i="7"/>
  <c r="Q92" i="7" s="1"/>
  <c r="R92" i="7" s="1"/>
  <c r="AE91" i="7"/>
  <c r="AG91" i="7" s="1"/>
  <c r="CB94" i="7"/>
  <c r="CA93" i="7"/>
  <c r="CC93" i="7"/>
  <c r="CD93" i="7" s="1"/>
  <c r="CE93" i="7" s="1"/>
  <c r="W94" i="7"/>
  <c r="X93" i="7"/>
  <c r="Y93" i="7" s="1"/>
  <c r="Z93" i="7" s="1"/>
  <c r="V93" i="7"/>
  <c r="V88" i="22"/>
  <c r="W87" i="22"/>
  <c r="X87" i="22" s="1"/>
  <c r="Y87" i="22" s="1"/>
  <c r="AM92" i="7"/>
  <c r="AF92" i="7" s="1"/>
  <c r="BY92" i="7"/>
  <c r="BR92" i="7" s="1"/>
  <c r="BW90" i="7"/>
  <c r="CJ91" i="7"/>
  <c r="CO91" i="7" s="1"/>
  <c r="CP91" i="7" s="1"/>
  <c r="BF93" i="7"/>
  <c r="AY93" i="7" s="1"/>
  <c r="N92" i="7"/>
  <c r="CR92" i="7"/>
  <c r="CJ92" i="7" s="1"/>
  <c r="AX92" i="7"/>
  <c r="CL90" i="7"/>
  <c r="D95" i="7"/>
  <c r="E94" i="7"/>
  <c r="F94" i="7" s="1"/>
  <c r="G94" i="7" s="1"/>
  <c r="C94" i="7"/>
  <c r="AO94" i="7"/>
  <c r="AP95" i="7"/>
  <c r="AQ94" i="7"/>
  <c r="AR94" i="7" s="1"/>
  <c r="AS94" i="7" s="1"/>
  <c r="AZ92" i="7" l="1"/>
  <c r="A84" i="27"/>
  <c r="B86" i="28"/>
  <c r="C87" i="28"/>
  <c r="D86" i="28"/>
  <c r="K83" i="27"/>
  <c r="G83" i="27"/>
  <c r="F83" i="27"/>
  <c r="I83" i="27"/>
  <c r="H83" i="27"/>
  <c r="BV91" i="7"/>
  <c r="BW91" i="7" s="1"/>
  <c r="BQ92" i="7"/>
  <c r="BS92" i="7" s="1"/>
  <c r="AE92" i="7"/>
  <c r="AG92" i="7" s="1"/>
  <c r="CK92" i="7"/>
  <c r="CO92" i="7" s="1"/>
  <c r="CP92" i="7" s="1"/>
  <c r="V89" i="22"/>
  <c r="X88" i="22"/>
  <c r="W88" i="22"/>
  <c r="AX93" i="7"/>
  <c r="BC93" i="7" s="1"/>
  <c r="L93" i="7"/>
  <c r="D96" i="7"/>
  <c r="E95" i="7"/>
  <c r="F95" i="7" s="1"/>
  <c r="G95" i="7" s="1"/>
  <c r="C95" i="7"/>
  <c r="AM93" i="7"/>
  <c r="AE93" i="7" s="1"/>
  <c r="BY93" i="7"/>
  <c r="BR93" i="7" s="1"/>
  <c r="CL91" i="7"/>
  <c r="CL92" i="7" s="1"/>
  <c r="V94" i="7"/>
  <c r="X94" i="7"/>
  <c r="Y94" i="7" s="1"/>
  <c r="Z94" i="7" s="1"/>
  <c r="W95" i="7"/>
  <c r="T94" i="7"/>
  <c r="M94" i="7" s="1"/>
  <c r="CR93" i="7"/>
  <c r="CJ93" i="7" s="1"/>
  <c r="BJ94" i="7"/>
  <c r="BK94" i="7" s="1"/>
  <c r="BL94" i="7" s="1"/>
  <c r="BH94" i="7"/>
  <c r="BI95" i="7"/>
  <c r="AJ91" i="7"/>
  <c r="AK91" i="7" s="1"/>
  <c r="BF94" i="7"/>
  <c r="AX94" i="7" s="1"/>
  <c r="P90" i="22"/>
  <c r="Q91" i="22"/>
  <c r="BC92" i="7"/>
  <c r="BD92" i="7" s="1"/>
  <c r="AP96" i="7"/>
  <c r="AO95" i="7"/>
  <c r="AQ95" i="7"/>
  <c r="AR95" i="7" s="1"/>
  <c r="AS95" i="7" s="1"/>
  <c r="CC94" i="7"/>
  <c r="CD94" i="7" s="1"/>
  <c r="CE94" i="7" s="1"/>
  <c r="CA94" i="7"/>
  <c r="CB95" i="7"/>
  <c r="Q93" i="7" l="1"/>
  <c r="R93" i="7" s="1"/>
  <c r="A85" i="27"/>
  <c r="D87" i="28"/>
  <c r="B87" i="28"/>
  <c r="K84" i="27"/>
  <c r="H84" i="27"/>
  <c r="I84" i="27"/>
  <c r="G84" i="27"/>
  <c r="F84" i="27"/>
  <c r="BV92" i="7"/>
  <c r="BW92" i="7" s="1"/>
  <c r="CK93" i="7"/>
  <c r="CO93" i="7" s="1"/>
  <c r="CP93" i="7" s="1"/>
  <c r="AZ93" i="7"/>
  <c r="AZ94" i="7" s="1"/>
  <c r="AF93" i="7"/>
  <c r="AJ93" i="7" s="1"/>
  <c r="AG93" i="7"/>
  <c r="BQ93" i="7"/>
  <c r="BS93" i="7" s="1"/>
  <c r="AJ92" i="7"/>
  <c r="AK92" i="7" s="1"/>
  <c r="L94" i="7"/>
  <c r="Q94" i="7" s="1"/>
  <c r="R94" i="7" s="1"/>
  <c r="BD93" i="7"/>
  <c r="AY94" i="7"/>
  <c r="BC94" i="7" s="1"/>
  <c r="BD94" i="7" s="1"/>
  <c r="CL93" i="7"/>
  <c r="T95" i="7"/>
  <c r="M95" i="7" s="1"/>
  <c r="N93" i="7"/>
  <c r="C96" i="7"/>
  <c r="Y88" i="22" s="1"/>
  <c r="D97" i="7"/>
  <c r="E96" i="7"/>
  <c r="F96" i="7" s="1"/>
  <c r="G96" i="7" s="1"/>
  <c r="W89" i="22"/>
  <c r="X89" i="22" s="1"/>
  <c r="Y89" i="22" s="1"/>
  <c r="CA95" i="7"/>
  <c r="CC95" i="7"/>
  <c r="CD95" i="7" s="1"/>
  <c r="CE95" i="7" s="1"/>
  <c r="CB96" i="7"/>
  <c r="AQ96" i="7"/>
  <c r="AR96" i="7" s="1"/>
  <c r="AS96" i="7" s="1"/>
  <c r="AO96" i="7"/>
  <c r="AP97" i="7"/>
  <c r="BI96" i="7"/>
  <c r="BJ95" i="7"/>
  <c r="BK95" i="7" s="1"/>
  <c r="BL95" i="7" s="1"/>
  <c r="BH95" i="7"/>
  <c r="P91" i="22"/>
  <c r="Q92" i="22"/>
  <c r="CR94" i="7"/>
  <c r="CJ94" i="7" s="1"/>
  <c r="W96" i="7"/>
  <c r="X95" i="7"/>
  <c r="Y95" i="7" s="1"/>
  <c r="Z95" i="7" s="1"/>
  <c r="V95" i="7"/>
  <c r="BF95" i="7"/>
  <c r="AX95" i="7" s="1"/>
  <c r="V90" i="22"/>
  <c r="BY94" i="7"/>
  <c r="BR94" i="7" s="1"/>
  <c r="AM94" i="7"/>
  <c r="AF94" i="7" s="1"/>
  <c r="K85" i="27" l="1"/>
  <c r="G85" i="27"/>
  <c r="F85" i="27"/>
  <c r="I85" i="27"/>
  <c r="H85" i="27"/>
  <c r="AE94" i="7"/>
  <c r="AG94" i="7" s="1"/>
  <c r="AK93" i="7"/>
  <c r="BQ94" i="7"/>
  <c r="BS94" i="7" s="1"/>
  <c r="CK94" i="7"/>
  <c r="CO94" i="7" s="1"/>
  <c r="CP94" i="7" s="1"/>
  <c r="N94" i="7"/>
  <c r="AY95" i="7"/>
  <c r="BC95" i="7" s="1"/>
  <c r="BD95" i="7" s="1"/>
  <c r="BV93" i="7"/>
  <c r="BW93" i="7" s="1"/>
  <c r="CR95" i="7"/>
  <c r="CK95" i="7" s="1"/>
  <c r="P92" i="22"/>
  <c r="AZ95" i="7"/>
  <c r="AO97" i="7"/>
  <c r="AP98" i="7"/>
  <c r="AQ97" i="7"/>
  <c r="AR97" i="7" s="1"/>
  <c r="AS97" i="7" s="1"/>
  <c r="L95" i="7"/>
  <c r="BI97" i="7"/>
  <c r="BJ96" i="7"/>
  <c r="BK96" i="7" s="1"/>
  <c r="BL96" i="7" s="1"/>
  <c r="BH96" i="7"/>
  <c r="V91" i="22"/>
  <c r="BF96" i="7"/>
  <c r="AY96" i="7" s="1"/>
  <c r="CL94" i="7"/>
  <c r="AM95" i="7"/>
  <c r="AF95" i="7" s="1"/>
  <c r="T96" i="7"/>
  <c r="L96" i="7" s="1"/>
  <c r="X96" i="7"/>
  <c r="Y96" i="7" s="1"/>
  <c r="Z96" i="7" s="1"/>
  <c r="V96" i="7"/>
  <c r="W97" i="7"/>
  <c r="D98" i="7"/>
  <c r="C97" i="7"/>
  <c r="E97" i="7"/>
  <c r="F97" i="7" s="1"/>
  <c r="G97" i="7" s="1"/>
  <c r="W90" i="22"/>
  <c r="X90" i="22" s="1"/>
  <c r="BY95" i="7"/>
  <c r="BR95" i="7" s="1"/>
  <c r="CB97" i="7"/>
  <c r="CC96" i="7"/>
  <c r="CD96" i="7" s="1"/>
  <c r="CE96" i="7" s="1"/>
  <c r="CA96" i="7"/>
  <c r="Y90" i="22" l="1"/>
  <c r="Q95" i="7"/>
  <c r="R95" i="7" s="1"/>
  <c r="BV94" i="7"/>
  <c r="BW94" i="7" s="1"/>
  <c r="AJ94" i="7"/>
  <c r="AK94" i="7" s="1"/>
  <c r="M96" i="7"/>
  <c r="Q96" i="7" s="1"/>
  <c r="AX96" i="7"/>
  <c r="BC96" i="7" s="1"/>
  <c r="BD96" i="7" s="1"/>
  <c r="V92" i="22"/>
  <c r="BF97" i="7"/>
  <c r="AX97" i="7" s="1"/>
  <c r="AQ98" i="7"/>
  <c r="AR98" i="7" s="1"/>
  <c r="AS98" i="7" s="1"/>
  <c r="AO98" i="7"/>
  <c r="CJ95" i="7"/>
  <c r="CO95" i="7" s="1"/>
  <c r="CP95" i="7" s="1"/>
  <c r="CR96" i="7"/>
  <c r="CK96" i="7" s="1"/>
  <c r="E98" i="7"/>
  <c r="C98" i="7"/>
  <c r="AE95" i="7"/>
  <c r="AG95" i="7" s="1"/>
  <c r="W91" i="22"/>
  <c r="X91" i="22" s="1"/>
  <c r="W98" i="7"/>
  <c r="X97" i="7"/>
  <c r="Y97" i="7" s="1"/>
  <c r="Z97" i="7" s="1"/>
  <c r="V97" i="7"/>
  <c r="N95" i="7"/>
  <c r="N96" i="7" s="1"/>
  <c r="T97" i="7"/>
  <c r="L97" i="7" s="1"/>
  <c r="CC97" i="7"/>
  <c r="CD97" i="7" s="1"/>
  <c r="CE97" i="7" s="1"/>
  <c r="CB98" i="7"/>
  <c r="CA97" i="7"/>
  <c r="BQ95" i="7"/>
  <c r="BS95" i="7" s="1"/>
  <c r="AM96" i="7"/>
  <c r="AE96" i="7" s="1"/>
  <c r="BY96" i="7"/>
  <c r="BQ96" i="7" s="1"/>
  <c r="BH97" i="7"/>
  <c r="BI98" i="7"/>
  <c r="BJ97" i="7"/>
  <c r="BK97" i="7" s="1"/>
  <c r="BL97" i="7" s="1"/>
  <c r="R96" i="7" l="1"/>
  <c r="Y91" i="22"/>
  <c r="AZ96" i="7"/>
  <c r="AZ97" i="7" s="1"/>
  <c r="M97" i="7"/>
  <c r="Q97" i="7" s="1"/>
  <c r="R97" i="7" s="1"/>
  <c r="AY97" i="7"/>
  <c r="BC97" i="7" s="1"/>
  <c r="BD97" i="7" s="1"/>
  <c r="AF96" i="7"/>
  <c r="AJ96" i="7" s="1"/>
  <c r="CL95" i="7"/>
  <c r="N97" i="7"/>
  <c r="CJ96" i="7"/>
  <c r="CO96" i="7" s="1"/>
  <c r="CP96" i="7" s="1"/>
  <c r="BS96" i="7"/>
  <c r="F98" i="7"/>
  <c r="G98" i="7" s="1"/>
  <c r="AM97" i="7"/>
  <c r="AF97" i="7" s="1"/>
  <c r="W92" i="22"/>
  <c r="X92" i="22" s="1"/>
  <c r="X98" i="7"/>
  <c r="V98" i="7"/>
  <c r="CC98" i="7"/>
  <c r="CD98" i="7" s="1"/>
  <c r="CE98" i="7" s="1"/>
  <c r="CA98" i="7"/>
  <c r="BR96" i="7"/>
  <c r="BV96" i="7" s="1"/>
  <c r="CR97" i="7"/>
  <c r="CK97" i="7" s="1"/>
  <c r="AG96" i="7"/>
  <c r="BF98" i="7"/>
  <c r="AX98" i="7" s="1"/>
  <c r="AJ95" i="7"/>
  <c r="AK95" i="7" s="1"/>
  <c r="BY97" i="7"/>
  <c r="BR97" i="7" s="1"/>
  <c r="BJ98" i="7"/>
  <c r="BK98" i="7" s="1"/>
  <c r="BL98" i="7" s="1"/>
  <c r="BH98" i="7"/>
  <c r="BV95" i="7"/>
  <c r="BW95" i="7" s="1"/>
  <c r="I21" i="26"/>
  <c r="I15" i="26"/>
  <c r="I30" i="22" l="1"/>
  <c r="BW96" i="7"/>
  <c r="CL96" i="7"/>
  <c r="AE97" i="7"/>
  <c r="AJ97" i="7" s="1"/>
  <c r="AK97" i="7" s="1"/>
  <c r="AK96" i="7"/>
  <c r="J21" i="26"/>
  <c r="C14" i="22"/>
  <c r="AT9" i="7"/>
  <c r="BA98" i="7"/>
  <c r="BQ97" i="7"/>
  <c r="BV97" i="7" s="1"/>
  <c r="BW97" i="7" s="1"/>
  <c r="CR98" i="7"/>
  <c r="CJ98" i="7" s="1"/>
  <c r="CJ97" i="7"/>
  <c r="CO97" i="7" s="1"/>
  <c r="CP97" i="7" s="1"/>
  <c r="Y98" i="7"/>
  <c r="Z98" i="7" s="1"/>
  <c r="BY98" i="7"/>
  <c r="BR98" i="7" s="1"/>
  <c r="AY98" i="7"/>
  <c r="BC98" i="7" s="1"/>
  <c r="BD98" i="7" s="1"/>
  <c r="AZ98" i="7"/>
  <c r="T98" i="7"/>
  <c r="M98" i="7" s="1"/>
  <c r="O23" i="26"/>
  <c r="O25" i="26"/>
  <c r="P24" i="26"/>
  <c r="I16" i="26"/>
  <c r="N24" i="26"/>
  <c r="O22" i="26"/>
  <c r="N25" i="26"/>
  <c r="O24" i="26"/>
  <c r="M23" i="26"/>
  <c r="N23" i="26"/>
  <c r="M24" i="26"/>
  <c r="P25" i="26"/>
  <c r="P23" i="26"/>
  <c r="M25" i="26"/>
  <c r="N22" i="26"/>
  <c r="M22" i="26"/>
  <c r="P22" i="26"/>
  <c r="S73" i="22" l="1"/>
  <c r="S74" i="22"/>
  <c r="S75" i="22"/>
  <c r="S76" i="22"/>
  <c r="S77" i="22"/>
  <c r="S78" i="22"/>
  <c r="S79" i="22"/>
  <c r="S80" i="22"/>
  <c r="S81" i="22"/>
  <c r="S82" i="22"/>
  <c r="S83" i="22"/>
  <c r="S84" i="22"/>
  <c r="S85" i="22"/>
  <c r="S86" i="22"/>
  <c r="S87" i="22"/>
  <c r="S88" i="22"/>
  <c r="S90" i="22"/>
  <c r="S89" i="22"/>
  <c r="S91" i="22"/>
  <c r="S72" i="22"/>
  <c r="Y92" i="22"/>
  <c r="L28" i="22" s="1"/>
  <c r="S57" i="22"/>
  <c r="S67" i="22"/>
  <c r="S55" i="22"/>
  <c r="S65" i="22"/>
  <c r="S62" i="22"/>
  <c r="S63" i="22"/>
  <c r="S64" i="22"/>
  <c r="S52" i="22"/>
  <c r="S56" i="22"/>
  <c r="S58" i="22"/>
  <c r="S60" i="22"/>
  <c r="S69" i="22"/>
  <c r="S66" i="22"/>
  <c r="S68" i="22"/>
  <c r="S71" i="22"/>
  <c r="S59" i="22"/>
  <c r="S61" i="22"/>
  <c r="S54" i="22"/>
  <c r="S70" i="22"/>
  <c r="S51" i="22"/>
  <c r="S53" i="22"/>
  <c r="S46" i="22"/>
  <c r="S47" i="22"/>
  <c r="S48" i="22"/>
  <c r="S50" i="22"/>
  <c r="S45" i="22"/>
  <c r="S49" i="22"/>
  <c r="S34" i="22"/>
  <c r="J16" i="26"/>
  <c r="I29" i="22" s="1"/>
  <c r="I31" i="22" s="1"/>
  <c r="S42" i="22"/>
  <c r="S15" i="22"/>
  <c r="S16" i="22"/>
  <c r="S14" i="22"/>
  <c r="S23" i="22"/>
  <c r="S24" i="22"/>
  <c r="S30" i="22"/>
  <c r="S31" i="22"/>
  <c r="S18" i="22"/>
  <c r="S32" i="22"/>
  <c r="S11" i="22"/>
  <c r="S39" i="22"/>
  <c r="S43" i="22"/>
  <c r="S38" i="22"/>
  <c r="S40" i="22"/>
  <c r="S19" i="22"/>
  <c r="S29" i="22"/>
  <c r="S35" i="22"/>
  <c r="S12" i="22"/>
  <c r="S37" i="22"/>
  <c r="S27" i="22"/>
  <c r="S13" i="22"/>
  <c r="S9" i="22"/>
  <c r="S17" i="22"/>
  <c r="S20" i="22"/>
  <c r="S25" i="22"/>
  <c r="S36" i="22"/>
  <c r="S33" i="22"/>
  <c r="S21" i="22"/>
  <c r="S41" i="22"/>
  <c r="S28" i="22"/>
  <c r="S22" i="22"/>
  <c r="S10" i="22"/>
  <c r="S44" i="22"/>
  <c r="S26" i="22"/>
  <c r="AG97" i="7"/>
  <c r="CK98" i="7"/>
  <c r="CO98" i="7" s="1"/>
  <c r="CP98" i="7" s="1"/>
  <c r="BQ98" i="7"/>
  <c r="BV98" i="7" s="1"/>
  <c r="BW98" i="7" s="1"/>
  <c r="U24" i="26"/>
  <c r="K21" i="22" s="1"/>
  <c r="T24" i="26"/>
  <c r="I21" i="22" s="1"/>
  <c r="T23" i="26"/>
  <c r="I20" i="22" s="1"/>
  <c r="V23" i="26"/>
  <c r="M20" i="22" s="1"/>
  <c r="U22" i="26"/>
  <c r="K19" i="22" s="1"/>
  <c r="V25" i="26"/>
  <c r="M22" i="22" s="1"/>
  <c r="S23" i="26"/>
  <c r="H20" i="22" s="1"/>
  <c r="U25" i="26"/>
  <c r="K22" i="22" s="1"/>
  <c r="V24" i="26"/>
  <c r="M21" i="22" s="1"/>
  <c r="V22" i="26"/>
  <c r="M19" i="22" s="1"/>
  <c r="T22" i="26"/>
  <c r="I19" i="22" s="1"/>
  <c r="S25" i="26"/>
  <c r="H22" i="22" s="1"/>
  <c r="T25" i="26"/>
  <c r="I22" i="22" s="1"/>
  <c r="S22" i="26"/>
  <c r="H19" i="22" s="1"/>
  <c r="U23" i="26"/>
  <c r="K20" i="22" s="1"/>
  <c r="S24" i="26"/>
  <c r="H21" i="22" s="1"/>
  <c r="BS97" i="7"/>
  <c r="CL97" i="7"/>
  <c r="CL98" i="7" s="1"/>
  <c r="AM98" i="7"/>
  <c r="AE98" i="7" s="1"/>
  <c r="L98" i="7"/>
  <c r="S92" i="22" s="1"/>
  <c r="T92" i="22" s="1"/>
  <c r="CF9" i="7"/>
  <c r="CM98" i="7"/>
  <c r="T88" i="22" l="1"/>
  <c r="T86" i="22"/>
  <c r="T72" i="22"/>
  <c r="T87" i="22"/>
  <c r="T85" i="22"/>
  <c r="T84" i="22"/>
  <c r="T83" i="22"/>
  <c r="T82" i="22"/>
  <c r="T81" i="22"/>
  <c r="T80" i="22"/>
  <c r="T79" i="22"/>
  <c r="T78" i="22"/>
  <c r="T77" i="22"/>
  <c r="T76" i="22"/>
  <c r="T91" i="22"/>
  <c r="T75" i="22"/>
  <c r="T89" i="22"/>
  <c r="T74" i="22"/>
  <c r="T90" i="22"/>
  <c r="T73" i="22"/>
  <c r="T59" i="22"/>
  <c r="T57" i="22"/>
  <c r="T51" i="22"/>
  <c r="T52" i="22"/>
  <c r="T54" i="22"/>
  <c r="T70" i="22"/>
  <c r="T55" i="22"/>
  <c r="T64" i="22"/>
  <c r="T58" i="22"/>
  <c r="T56" i="22"/>
  <c r="T45" i="22"/>
  <c r="T67" i="22"/>
  <c r="T66" i="22"/>
  <c r="T53" i="22"/>
  <c r="T65" i="22"/>
  <c r="T68" i="22"/>
  <c r="T61" i="22"/>
  <c r="T62" i="22"/>
  <c r="T50" i="22"/>
  <c r="T49" i="22"/>
  <c r="T60" i="22"/>
  <c r="T71" i="22"/>
  <c r="T63" i="22"/>
  <c r="T69" i="22"/>
  <c r="T46" i="22"/>
  <c r="T48" i="22"/>
  <c r="T47" i="22"/>
  <c r="E12" i="22"/>
  <c r="T43" i="22"/>
  <c r="T18" i="22"/>
  <c r="T33" i="22"/>
  <c r="T39" i="22"/>
  <c r="T32" i="22"/>
  <c r="T15" i="22"/>
  <c r="T12" i="22"/>
  <c r="T27" i="22"/>
  <c r="T42" i="22"/>
  <c r="T26" i="22"/>
  <c r="T25" i="22"/>
  <c r="T11" i="22"/>
  <c r="T44" i="22"/>
  <c r="T20" i="22"/>
  <c r="T13" i="22"/>
  <c r="T17" i="22"/>
  <c r="T31" i="22"/>
  <c r="T16" i="22"/>
  <c r="T14" i="22"/>
  <c r="T40" i="22"/>
  <c r="T34" i="22"/>
  <c r="T36" i="22"/>
  <c r="T21" i="22"/>
  <c r="T10" i="22"/>
  <c r="T38" i="22"/>
  <c r="T23" i="22"/>
  <c r="T19" i="22"/>
  <c r="T35" i="22"/>
  <c r="T28" i="22"/>
  <c r="T24" i="22"/>
  <c r="T29" i="22"/>
  <c r="T9" i="22"/>
  <c r="T22" i="22"/>
  <c r="T37" i="22"/>
  <c r="T41" i="22"/>
  <c r="T30" i="22"/>
  <c r="BM9" i="7"/>
  <c r="BT98" i="7"/>
  <c r="BS98" i="7"/>
  <c r="AF98" i="7"/>
  <c r="AJ98" i="7" s="1"/>
  <c r="AK98" i="7" s="1"/>
  <c r="AA9" i="7"/>
  <c r="AH98" i="7"/>
  <c r="AG98" i="7"/>
  <c r="H9" i="7"/>
  <c r="O98" i="7"/>
  <c r="N98" i="7"/>
  <c r="Q98" i="7"/>
  <c r="R98" i="7" s="1"/>
</calcChain>
</file>

<file path=xl/sharedStrings.xml><?xml version="1.0" encoding="utf-8"?>
<sst xmlns="http://schemas.openxmlformats.org/spreadsheetml/2006/main" count="284" uniqueCount="139">
  <si>
    <t>Notional:</t>
  </si>
  <si>
    <t>Strike:</t>
  </si>
  <si>
    <t>Daycount:</t>
  </si>
  <si>
    <t>Actual/360</t>
  </si>
  <si>
    <t>Risk-Free Rate:</t>
  </si>
  <si>
    <t>Period</t>
  </si>
  <si>
    <t>Begin</t>
  </si>
  <si>
    <t>End</t>
  </si>
  <si>
    <t>Days</t>
  </si>
  <si>
    <t>Notional</t>
  </si>
  <si>
    <t>Fwd Curve</t>
  </si>
  <si>
    <t>Vol</t>
  </si>
  <si>
    <t>Caplet</t>
  </si>
  <si>
    <t>Time</t>
  </si>
  <si>
    <t>+1 VOL</t>
  </si>
  <si>
    <t>Cap Premiums</t>
  </si>
  <si>
    <t>1YR</t>
  </si>
  <si>
    <t>2YR</t>
  </si>
  <si>
    <t>3YR</t>
  </si>
  <si>
    <t>4YR</t>
  </si>
  <si>
    <t>5YR</t>
  </si>
  <si>
    <t>ONLY CHANGE DATA IN GREEN CELLS</t>
  </si>
  <si>
    <t xml:space="preserve"> </t>
  </si>
  <si>
    <t>Vols</t>
  </si>
  <si>
    <t>Resets</t>
  </si>
  <si>
    <t>Cumulative Cost</t>
  </si>
  <si>
    <t>VEGA</t>
  </si>
  <si>
    <t>Cumulative</t>
  </si>
  <si>
    <t>Vol Adjustment</t>
  </si>
  <si>
    <t>Cap Mid</t>
  </si>
  <si>
    <t>Amort Term:</t>
  </si>
  <si>
    <t>Amort?</t>
  </si>
  <si>
    <t>Yes</t>
  </si>
  <si>
    <t>No</t>
  </si>
  <si>
    <t>Amort Rate:</t>
  </si>
  <si>
    <t>Upper Strike</t>
  </si>
  <si>
    <t>Period Cost</t>
  </si>
  <si>
    <t>Strike Adjust</t>
  </si>
  <si>
    <t>Vol Adjust</t>
  </si>
  <si>
    <t>6YR</t>
  </si>
  <si>
    <t>7YR</t>
  </si>
  <si>
    <t>Lower Strike</t>
  </si>
  <si>
    <t>PV Factor</t>
  </si>
  <si>
    <t>Date</t>
  </si>
  <si>
    <t>Caplet Cost</t>
  </si>
  <si>
    <t>Effective</t>
  </si>
  <si>
    <t>Term (Months)</t>
  </si>
  <si>
    <t>Strike</t>
  </si>
  <si>
    <t>Strike Type</t>
  </si>
  <si>
    <t>Constant Strike</t>
  </si>
  <si>
    <t>Constant</t>
  </si>
  <si>
    <t>Step-up</t>
  </si>
  <si>
    <t>Year</t>
  </si>
  <si>
    <t>Flat Fee</t>
  </si>
  <si>
    <t>24 Months</t>
  </si>
  <si>
    <t>36 Months</t>
  </si>
  <si>
    <t>Main Cap Pricer</t>
  </si>
  <si>
    <t>Calculator Mid</t>
  </si>
  <si>
    <t>Vol Adjustments</t>
  </si>
  <si>
    <t>12 Months</t>
  </si>
  <si>
    <t>48 Months</t>
  </si>
  <si>
    <t>Vol Adj.</t>
  </si>
  <si>
    <t>+1 Standard Deviation</t>
  </si>
  <si>
    <t>FOMC Dot Plot</t>
  </si>
  <si>
    <t>+25 bps</t>
  </si>
  <si>
    <t>+50 bps</t>
  </si>
  <si>
    <t>Shocks</t>
  </si>
  <si>
    <t>+2 Standard Deviation</t>
  </si>
  <si>
    <t>-1 Standard Deviation</t>
  </si>
  <si>
    <t>-2 Standard Deviation</t>
  </si>
  <si>
    <t>Dollars</t>
  </si>
  <si>
    <t>% of Notional</t>
  </si>
  <si>
    <t>GRID PRICING</t>
  </si>
  <si>
    <t>Ratings</t>
  </si>
  <si>
    <t>Boolean</t>
  </si>
  <si>
    <t>Price Type</t>
  </si>
  <si>
    <t>Vol Adjustments - Max</t>
  </si>
  <si>
    <t>Cap Strike</t>
  </si>
  <si>
    <t>Reset Date</t>
  </si>
  <si>
    <t>-2 SD</t>
  </si>
  <si>
    <t>-1 SD</t>
  </si>
  <si>
    <t>+1 SD</t>
  </si>
  <si>
    <t>+2 SD</t>
  </si>
  <si>
    <t>FOMC</t>
  </si>
  <si>
    <t>Shocked Curve</t>
  </si>
  <si>
    <t>ATM</t>
  </si>
  <si>
    <t>Projected Payout</t>
  </si>
  <si>
    <t>Rate Environment</t>
  </si>
  <si>
    <t>Market Expectations</t>
  </si>
  <si>
    <t>+25 bps Shift</t>
  </si>
  <si>
    <t>+50 bps Shift</t>
  </si>
  <si>
    <t>0.01% Strike</t>
  </si>
  <si>
    <t>4.00% Strike</t>
  </si>
  <si>
    <t>30D SOFR</t>
  </si>
  <si>
    <t>Reset</t>
  </si>
  <si>
    <t>INTEREST RATE CAP PRICER</t>
  </si>
  <si>
    <t>CAP TERMS</t>
  </si>
  <si>
    <t>Index</t>
  </si>
  <si>
    <t>Cost Display</t>
  </si>
  <si>
    <t>ANTICIPATED PROTECTION</t>
  </si>
  <si>
    <t>CAP COST</t>
  </si>
  <si>
    <t>CAPLETS</t>
  </si>
  <si>
    <t>PRICING</t>
  </si>
  <si>
    <t>PROTECTION</t>
  </si>
  <si>
    <t>% of Total Cost</t>
  </si>
  <si>
    <t>Month</t>
  </si>
  <si>
    <t>PERIOD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</si>
  <si>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</si>
  <si>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NET BENEFIT/(COST)</t>
  </si>
  <si>
    <t>1.00% Strike</t>
  </si>
  <si>
    <t>4.50% Strike</t>
  </si>
  <si>
    <t>5.00% Strike</t>
  </si>
  <si>
    <t>1M Term SOFR Resets</t>
  </si>
  <si>
    <t>Rates @ 6.00%</t>
  </si>
  <si>
    <t>LIBOR @ 6.00%</t>
  </si>
  <si>
    <t>*last updated 10/24</t>
  </si>
  <si>
    <t>FOMC Dots</t>
  </si>
  <si>
    <t>5.50% Strike</t>
  </si>
  <si>
    <t>6.00% Strike</t>
  </si>
  <si>
    <t>2.00% Strike</t>
  </si>
  <si>
    <t>2.50% Strike</t>
  </si>
  <si>
    <t>3.00% Strike</t>
  </si>
  <si>
    <t>3.50% Strike</t>
  </si>
  <si>
    <t>PV Projected Payout</t>
  </si>
  <si>
    <r>
      <t>Our cap pricing model has the capability to price 1-month Term SOFR</t>
    </r>
    <r>
      <rPr>
        <sz val="10.5"/>
        <color rgb="FFFF0000"/>
        <rFont val="Calibri"/>
        <family val="2"/>
        <scheme val="minor"/>
      </rPr>
      <t xml:space="preserve"> </t>
    </r>
    <r>
      <rPr>
        <sz val="10.5"/>
        <color theme="2" tint="-0.499984740745262"/>
        <rFont val="Calibri"/>
        <family val="2"/>
        <scheme val="minor"/>
      </rPr>
      <t xml:space="preserve">hedges out to 7 years and up to a 6.00% strike.  This tool is great for quickly ballparking various scenarios, as well as analyzing the anticipated protection or cost on a month-by-month basis.
</t>
    </r>
    <r>
      <rPr>
        <u/>
        <sz val="10.5"/>
        <color theme="2" tint="-0.499984740745262"/>
        <rFont val="Calibri"/>
        <family val="2"/>
        <scheme val="minor"/>
      </rPr>
      <t xml:space="preserve">Caveats
</t>
    </r>
    <r>
      <rPr>
        <sz val="10.5"/>
        <color theme="2" tint="-0.499984740745262"/>
        <rFont val="Calibri"/>
        <family val="2"/>
        <scheme val="minor"/>
      </rPr>
      <t>Results are for modeling purposes only.  Longer dated (&gt;4 years) and lower strike (&lt;3.00%) structures are more sensitive to pricing swings.  All pricing is exclusive of advisory fees and assumes market standard rating triggers.  If the rating requirements are higher, the cost could increase materially.  For a more precise quote please email CapTeam@Pensford.com or call (704) 887-9880.</t>
    </r>
  </si>
  <si>
    <t>Term SOFR</t>
  </si>
  <si>
    <t>PV of PAYOUT</t>
  </si>
  <si>
    <t>FV TOTAL PAYOUT</t>
  </si>
  <si>
    <t>0 on 24
0 on 36</t>
  </si>
  <si>
    <t>-10 on 24
-10 on 36</t>
  </si>
  <si>
    <t>0 on 24          -10 on 36</t>
  </si>
  <si>
    <t>4 on 24
0 on 36</t>
  </si>
  <si>
    <t>10 on 24
5 on 36</t>
  </si>
  <si>
    <t>10 on 24
2 on 36</t>
  </si>
  <si>
    <t>10 on 24
6 on 36</t>
  </si>
  <si>
    <t>12 on 24
5 on 36</t>
  </si>
  <si>
    <t>10 on 24
3 on 36</t>
  </si>
  <si>
    <t>6 on 24
5 on 36</t>
  </si>
  <si>
    <t>2 on 24
2 on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</si>
</sst>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quot;$&quot;#,##0.00"/>
    <numFmt numFmtId="165" formatCode="m/d/yy"/>
    <numFmt numFmtId="166" formatCode="&quot;$&quot;#,##0"/>
    <numFmt numFmtId="167" formatCode="0.0000%"/>
    <numFmt numFmtId="168" formatCode="_(* #,##0_);_(* \(#,##0\);_(* &quot;-&quot;??_);_(@_)"/>
    <numFmt numFmtId="169" formatCode="_(&quot;$&quot;* #,##0_);_(&quot;$&quot;* \(#,##0\);_(&quot;$&quot;* &quot;-&quot;??_);_(@_)"/>
    <numFmt numFmtId="170" formatCode="[$-409]mmmm\ d\,\ yyyy;@"/>
    <numFmt numFmtId="171" formatCode="0.000%"/>
    <numFmt numFmtId="172" formatCode="0.0000000%"/>
    <numFmt numFmtId="173" formatCode="0.00000%"/>
    <numFmt numFmtId="174" formatCode="_(* #,##0.0_);_(* \(#,##0.0\);_(* &quot;-&quot;??_);_(@_)"/>
    <numFmt numFmtId="175" formatCode="0.00000000"/>
    <numFmt numFmtId="176" formatCode="0.0000000000"/>
  </numFmts>
  <fonts count="40">
    <font>
      <sz val="10"/>
      <color rgb="FF00000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Garamond"/>
      <family val="1"/>
    </font>
    <font>
      <sz val="11"/>
      <color rgb="FF000000"/>
      <name val="Garamond"/>
      <family val="1"/>
    </font>
    <font>
      <sz val="11"/>
      <name val="Garamond"/>
      <family val="1"/>
    </font>
    <font>
      <u/>
      <sz val="10"/>
      <color theme="10"/>
      <name val="Arial"/>
      <family val="2"/>
    </font>
    <font>
      <b/>
      <sz val="11"/>
      <color indexed="9"/>
      <name val="Calibri"/>
      <family val="2"/>
    </font>
    <font>
      <b/>
      <sz val="11"/>
      <name val="Garamond"/>
      <family val="1"/>
    </font>
    <font>
      <sz val="11"/>
      <color theme="0"/>
      <name val="Garamond"/>
      <family val="1"/>
    </font>
    <font>
      <sz val="11"/>
      <color theme="1"/>
      <name val="Garamond"/>
      <family val="1"/>
    </font>
    <font>
      <b/>
      <sz val="11"/>
      <color indexed="9"/>
      <name val="Garamond"/>
      <family val="1"/>
    </font>
    <font>
      <b/>
      <sz val="12"/>
      <name val="Calibri"/>
      <family val="2"/>
      <scheme val="minor"/>
    </font>
    <font>
      <sz val="11"/>
      <name val="Calibri"/>
      <family val="2"/>
      <scheme val="minor"/>
    </font>
    <font>
      <b/>
      <sz val="11"/>
      <name val="Calibri"/>
      <family val="2"/>
      <scheme val="minor"/>
    </font>
    <font>
      <sz val="12"/>
      <name val="Calibri"/>
      <family val="2"/>
      <scheme val="minor"/>
    </font>
    <font>
      <b/>
      <sz val="14"/>
      <name val="Calibri"/>
      <family val="2"/>
      <scheme val="minor"/>
    </font>
    <font>
      <b/>
      <sz val="12"/>
      <color theme="0"/>
      <name val="Calibri"/>
      <family val="2"/>
      <scheme val="minor"/>
    </font>
    <font>
      <b/>
      <sz val="20"/>
      <color rgb="FF336600"/>
      <name val="Calibri"/>
      <family val="2"/>
      <scheme val="minor"/>
    </font>
    <font>
      <b/>
      <sz val="12"/>
      <color rgb="FFC00000"/>
      <name val="Calibri"/>
      <family val="2"/>
      <scheme val="minor"/>
    </font>
    <font>
      <b/>
      <sz val="15"/>
      <name val="Calibri"/>
      <family val="2"/>
      <scheme val="minor"/>
    </font>
    <font>
      <u/>
      <sz val="11"/>
      <name val="Calibri"/>
      <family val="2"/>
      <scheme val="minor"/>
    </font>
    <font>
      <sz val="12"/>
      <color rgb="FF000000"/>
      <name val="Arial"/>
      <family val="2"/>
    </font>
    <font>
      <sz val="10.5"/>
      <name val="Calibri"/>
      <family val="2"/>
      <scheme val="minor"/>
    </font>
    <font>
      <sz val="6"/>
      <color theme="6"/>
      <name val="Calibri"/>
      <family val="2"/>
      <scheme val="minor"/>
    </font>
    <font>
      <sz val="10.5"/>
      <color theme="2" tint="-0.499984740745262"/>
      <name val="Calibri"/>
      <family val="2"/>
      <scheme val="minor"/>
    </font>
    <font>
      <u/>
      <sz val="10.5"/>
      <color theme="2" tint="-0.499984740745262"/>
      <name val="Calibri"/>
      <family val="2"/>
      <scheme val="minor"/>
    </font>
    <font>
      <i/>
      <sz val="10.5"/>
      <color theme="2" tint="-0.499984740745262"/>
      <name val="Calibri"/>
      <family val="2"/>
      <scheme val="minor"/>
    </font>
    <font>
      <sz val="10"/>
      <color rgb="FF000000"/>
      <name val="Arial"/>
      <family val="2"/>
    </font>
    <font>
      <sz val="11"/>
      <color rgb="FFFF0000"/>
      <name val="Garamond"/>
      <family val="1"/>
    </font>
    <font>
      <sz val="10"/>
      <color rgb="FFFF0000"/>
      <name val="Arial"/>
      <family val="2"/>
    </font>
    <font>
      <b/>
      <sz val="11"/>
      <color theme="0"/>
      <name val="Garamond"/>
      <family val="1"/>
    </font>
    <font>
      <sz val="10.5"/>
      <color rgb="FFFF0000"/>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rgb="FF4F81BD"/>
        <bgColor indexed="64"/>
      </patternFill>
    </fill>
    <fill>
      <patternFill patternType="solid">
        <fgColor theme="2"/>
        <bgColor indexed="64"/>
      </patternFill>
    </fill>
    <fill>
      <patternFill patternType="solid">
        <fgColor theme="8" tint="0.79998168889431442"/>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70C0"/>
      </top>
      <bottom style="thin">
        <color theme="2" tint="-0.499984740745262"/>
      </bottom>
      <diagonal/>
    </border>
    <border>
      <left/>
      <right/>
      <top style="thin">
        <color theme="2" tint="-0.499984740745262"/>
      </top>
      <bottom/>
      <diagonal/>
    </border>
    <border>
      <left style="thin">
        <color indexed="64"/>
      </left>
      <right/>
      <top/>
      <bottom/>
      <diagonal/>
    </border>
    <border>
      <left/>
      <right/>
      <top/>
      <bottom style="medium">
        <color theme="8"/>
      </bottom>
      <diagonal/>
    </border>
    <border>
      <left/>
      <right/>
      <top/>
      <bottom style="thin">
        <color theme="2" tint="-0.499984740745262"/>
      </bottom>
      <diagonal/>
    </border>
    <border>
      <left/>
      <right/>
      <top/>
      <bottom style="medium">
        <color theme="2" tint="-0.499984740745262"/>
      </bottom>
      <diagonal/>
    </border>
    <border>
      <left/>
      <right style="medium">
        <color theme="2" tint="-0.499984740745262"/>
      </right>
      <top style="medium">
        <color theme="2" tint="-0.499984740745262"/>
      </top>
      <bottom/>
      <diagonal/>
    </border>
    <border>
      <left/>
      <right style="medium">
        <color theme="2" tint="-0.499984740745262"/>
      </right>
      <top/>
      <bottom style="medium">
        <color theme="2" tint="-0.499984740745262"/>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top/>
      <bottom style="medium">
        <color theme="6"/>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s>
  <cellStyleXfs count="12">
    <xf numFmtId="170" fontId="0" fillId="0" borderId="0"/>
    <xf numFmtId="43" fontId="5" fillId="0" borderId="0" applyFont="0" applyFill="0" applyBorder="0" applyAlignment="0" applyProtection="0"/>
    <xf numFmtId="44" fontId="5" fillId="0" borderId="0" applyFont="0" applyFill="0" applyBorder="0" applyAlignment="0" applyProtection="0"/>
    <xf numFmtId="9" fontId="8" fillId="0" borderId="0" applyFont="0" applyFill="0" applyBorder="0" applyAlignment="0" applyProtection="0"/>
    <xf numFmtId="170" fontId="12" fillId="0" borderId="0" applyNumberFormat="0" applyFill="0" applyBorder="0" applyAlignment="0" applyProtection="0"/>
    <xf numFmtId="170" fontId="2" fillId="0" borderId="0"/>
    <xf numFmtId="170" fontId="13" fillId="8" borderId="0"/>
    <xf numFmtId="9" fontId="2" fillId="0" borderId="0" applyFont="0" applyFill="0" applyBorder="0" applyAlignment="0" applyProtection="0"/>
    <xf numFmtId="170" fontId="1" fillId="0" borderId="0"/>
    <xf numFmtId="9" fontId="1" fillId="0" borderId="0" applyFont="0" applyFill="0" applyBorder="0" applyAlignment="0" applyProtection="0"/>
    <xf numFmtId="170" fontId="34" fillId="0" borderId="0"/>
    <xf numFmtId="9" fontId="5" fillId="0" borderId="0" applyFont="0" applyFill="0" applyBorder="0" applyAlignment="0" applyProtection="0"/>
  </cellStyleXfs>
  <cellXfs count="225">
    <xf numFmtId="170" fontId="0" fillId="0" borderId="0" xfId="0"/>
    <xf numFmtId="170" fontId="10" fillId="0" borderId="0" xfId="0" applyFont="1" applyProtection="1">
      <protection hidden="1"/>
    </xf>
    <xf numFmtId="170" fontId="11" fillId="0" borderId="0" xfId="0" applyFont="1" applyProtection="1">
      <protection hidden="1"/>
    </xf>
    <xf numFmtId="10" fontId="10" fillId="0" borderId="0" xfId="0" applyNumberFormat="1" applyFont="1" applyProtection="1">
      <protection hidden="1"/>
    </xf>
    <xf numFmtId="43" fontId="10" fillId="0" borderId="0" xfId="1" applyFont="1" applyProtection="1">
      <protection hidden="1"/>
    </xf>
    <xf numFmtId="170" fontId="10" fillId="0" borderId="0" xfId="0" quotePrefix="1" applyFont="1" applyProtection="1">
      <protection hidden="1"/>
    </xf>
    <xf numFmtId="170" fontId="10" fillId="5" borderId="0" xfId="0" applyFont="1" applyFill="1" applyProtection="1">
      <protection hidden="1"/>
    </xf>
    <xf numFmtId="43" fontId="10" fillId="5" borderId="0" xfId="1" applyFont="1" applyFill="1" applyProtection="1">
      <protection hidden="1"/>
    </xf>
    <xf numFmtId="6" fontId="10" fillId="0" borderId="0" xfId="0" applyNumberFormat="1" applyFont="1" applyProtection="1">
      <protection hidden="1"/>
    </xf>
    <xf numFmtId="169" fontId="10" fillId="7" borderId="0" xfId="0" applyNumberFormat="1" applyFont="1" applyFill="1" applyAlignment="1" applyProtection="1">
      <alignment horizontal="left"/>
      <protection hidden="1"/>
    </xf>
    <xf numFmtId="170" fontId="11" fillId="0" borderId="2" xfId="0" applyFont="1" applyBorder="1" applyProtection="1">
      <protection hidden="1"/>
    </xf>
    <xf numFmtId="170" fontId="11" fillId="0" borderId="4" xfId="0" applyFont="1" applyBorder="1" applyProtection="1">
      <protection hidden="1"/>
    </xf>
    <xf numFmtId="10" fontId="14" fillId="0" borderId="0" xfId="0" applyNumberFormat="1" applyFont="1" applyAlignment="1" applyProtection="1">
      <alignment horizontal="left"/>
      <protection hidden="1"/>
    </xf>
    <xf numFmtId="170" fontId="9" fillId="0" borderId="1" xfId="0" applyFont="1" applyBorder="1" applyAlignment="1" applyProtection="1">
      <alignment horizontal="right"/>
      <protection hidden="1"/>
    </xf>
    <xf numFmtId="170" fontId="14" fillId="0" borderId="6" xfId="0" applyFont="1" applyBorder="1" applyProtection="1">
      <protection hidden="1"/>
    </xf>
    <xf numFmtId="169" fontId="11" fillId="0" borderId="0" xfId="0" applyNumberFormat="1" applyFont="1" applyAlignment="1" applyProtection="1">
      <alignment horizontal="left"/>
      <protection hidden="1"/>
    </xf>
    <xf numFmtId="10" fontId="14" fillId="0" borderId="7" xfId="0" applyNumberFormat="1" applyFont="1" applyBorder="1" applyAlignment="1" applyProtection="1">
      <alignment horizontal="left"/>
      <protection hidden="1"/>
    </xf>
    <xf numFmtId="169" fontId="11" fillId="0" borderId="7" xfId="0" applyNumberFormat="1" applyFont="1" applyBorder="1" applyAlignment="1" applyProtection="1">
      <alignment horizontal="left"/>
      <protection hidden="1"/>
    </xf>
    <xf numFmtId="14" fontId="11" fillId="4" borderId="0" xfId="0" applyNumberFormat="1" applyFont="1" applyFill="1" applyAlignment="1" applyProtection="1">
      <alignment horizontal="center" vertical="center"/>
      <protection hidden="1"/>
    </xf>
    <xf numFmtId="43" fontId="16" fillId="0" borderId="0" xfId="1" applyFont="1" applyProtection="1">
      <protection hidden="1"/>
    </xf>
    <xf numFmtId="170" fontId="15" fillId="6" borderId="0" xfId="5" applyFont="1" applyFill="1" applyProtection="1">
      <protection hidden="1"/>
    </xf>
    <xf numFmtId="170" fontId="16" fillId="0" borderId="0" xfId="5" applyFont="1" applyProtection="1">
      <protection hidden="1"/>
    </xf>
    <xf numFmtId="170" fontId="16" fillId="0" borderId="0" xfId="5" quotePrefix="1" applyFont="1" applyProtection="1">
      <protection hidden="1"/>
    </xf>
    <xf numFmtId="2" fontId="16" fillId="0" borderId="0" xfId="5" applyNumberFormat="1" applyFont="1" applyProtection="1">
      <protection hidden="1"/>
    </xf>
    <xf numFmtId="0" fontId="10" fillId="0" borderId="0" xfId="0" applyNumberFormat="1" applyFont="1" applyProtection="1">
      <protection hidden="1"/>
    </xf>
    <xf numFmtId="0" fontId="14" fillId="0" borderId="6" xfId="0" applyNumberFormat="1" applyFont="1" applyBorder="1" applyAlignment="1" applyProtection="1">
      <alignment horizontal="center" vertical="center"/>
      <protection hidden="1"/>
    </xf>
    <xf numFmtId="0" fontId="11" fillId="0" borderId="3" xfId="0" applyNumberFormat="1" applyFont="1" applyBorder="1" applyProtection="1">
      <protection hidden="1"/>
    </xf>
    <xf numFmtId="10" fontId="10" fillId="0" borderId="0" xfId="3" applyNumberFormat="1" applyFont="1" applyProtection="1">
      <protection hidden="1"/>
    </xf>
    <xf numFmtId="0" fontId="17" fillId="6" borderId="0" xfId="6" applyNumberFormat="1" applyFont="1" applyFill="1" applyAlignment="1" applyProtection="1">
      <alignment horizontal="center"/>
      <protection hidden="1"/>
    </xf>
    <xf numFmtId="0" fontId="17" fillId="6" borderId="8" xfId="6" applyNumberFormat="1" applyFont="1" applyFill="1" applyBorder="1" applyAlignment="1" applyProtection="1">
      <alignment horizontal="center"/>
      <protection hidden="1"/>
    </xf>
    <xf numFmtId="0" fontId="16" fillId="0" borderId="0" xfId="8" applyNumberFormat="1" applyFont="1" applyProtection="1">
      <protection hidden="1"/>
    </xf>
    <xf numFmtId="0" fontId="17" fillId="6" borderId="8" xfId="6" applyNumberFormat="1" applyFont="1" applyFill="1" applyBorder="1" applyAlignment="1" applyProtection="1">
      <alignment horizontal="center" vertical="center"/>
      <protection hidden="1"/>
    </xf>
    <xf numFmtId="0" fontId="17" fillId="6" borderId="0" xfId="6" quotePrefix="1" applyNumberFormat="1" applyFont="1" applyFill="1" applyAlignment="1" applyProtection="1">
      <alignment horizontal="center" vertical="center"/>
      <protection hidden="1"/>
    </xf>
    <xf numFmtId="14" fontId="16" fillId="0" borderId="0" xfId="8" applyNumberFormat="1" applyFont="1" applyAlignment="1" applyProtection="1">
      <alignment horizontal="center" vertical="center"/>
      <protection hidden="1"/>
    </xf>
    <xf numFmtId="10" fontId="16" fillId="0" borderId="0" xfId="8" applyNumberFormat="1" applyFont="1" applyProtection="1">
      <protection hidden="1"/>
    </xf>
    <xf numFmtId="0" fontId="16" fillId="0" borderId="0" xfId="8" applyNumberFormat="1" applyFont="1" applyAlignment="1" applyProtection="1">
      <alignment horizontal="center" vertical="center"/>
      <protection hidden="1"/>
    </xf>
    <xf numFmtId="0" fontId="10" fillId="0" borderId="0" xfId="9" applyNumberFormat="1" applyFont="1" applyProtection="1">
      <protection hidden="1"/>
    </xf>
    <xf numFmtId="10" fontId="10" fillId="0" borderId="0" xfId="9" applyNumberFormat="1" applyFont="1" applyProtection="1">
      <protection hidden="1"/>
    </xf>
    <xf numFmtId="169" fontId="16" fillId="0" borderId="0" xfId="1" applyNumberFormat="1" applyFont="1" applyProtection="1">
      <protection hidden="1"/>
    </xf>
    <xf numFmtId="43" fontId="11" fillId="0" borderId="5" xfId="1" applyFont="1" applyBorder="1" applyProtection="1">
      <protection hidden="1"/>
    </xf>
    <xf numFmtId="14" fontId="16" fillId="0" borderId="0" xfId="8" applyNumberFormat="1" applyFont="1" applyProtection="1">
      <protection hidden="1"/>
    </xf>
    <xf numFmtId="169" fontId="16" fillId="0" borderId="0" xfId="5" applyNumberFormat="1" applyFont="1" applyProtection="1">
      <protection hidden="1"/>
    </xf>
    <xf numFmtId="0" fontId="16" fillId="0" borderId="0" xfId="1" applyNumberFormat="1" applyFont="1" applyAlignment="1" applyProtection="1">
      <alignment horizontal="center"/>
      <protection hidden="1"/>
    </xf>
    <xf numFmtId="0" fontId="11" fillId="0" borderId="0" xfId="1" applyNumberFormat="1" applyFont="1" applyAlignment="1" applyProtection="1">
      <alignment horizontal="center"/>
      <protection hidden="1"/>
    </xf>
    <xf numFmtId="0" fontId="3" fillId="0" borderId="0" xfId="3" applyNumberFormat="1" applyFont="1" applyFill="1"/>
    <xf numFmtId="170" fontId="3" fillId="0" borderId="0" xfId="0" applyFont="1"/>
    <xf numFmtId="170" fontId="3" fillId="0" borderId="0" xfId="0" applyFont="1" applyAlignment="1">
      <alignment horizontal="center" vertical="center"/>
    </xf>
    <xf numFmtId="43" fontId="3" fillId="0" borderId="0" xfId="1" applyFont="1" applyFill="1"/>
    <xf numFmtId="170" fontId="4" fillId="0" borderId="1" xfId="0" applyFont="1" applyBorder="1"/>
    <xf numFmtId="170" fontId="3" fillId="0" borderId="1" xfId="0" applyFont="1" applyBorder="1"/>
    <xf numFmtId="10" fontId="3" fillId="0" borderId="0" xfId="0" applyNumberFormat="1" applyFont="1" applyAlignment="1">
      <alignment horizontal="center" vertical="center"/>
    </xf>
    <xf numFmtId="170" fontId="3" fillId="0" borderId="0" xfId="3" applyNumberFormat="1" applyFont="1" applyFill="1" applyAlignment="1">
      <alignment horizontal="center"/>
    </xf>
    <xf numFmtId="0" fontId="3" fillId="0" borderId="0" xfId="0" applyNumberFormat="1" applyFont="1"/>
    <xf numFmtId="170" fontId="3" fillId="0" borderId="0" xfId="3" applyNumberFormat="1" applyFont="1" applyFill="1"/>
    <xf numFmtId="164" fontId="4" fillId="0" borderId="0" xfId="0" applyNumberFormat="1" applyFont="1"/>
    <xf numFmtId="170" fontId="3" fillId="0" borderId="0" xfId="0" applyFont="1" applyAlignment="1">
      <alignment horizontal="center"/>
    </xf>
    <xf numFmtId="172" fontId="3" fillId="0" borderId="0" xfId="0" applyNumberFormat="1" applyFont="1"/>
    <xf numFmtId="167" fontId="3" fillId="0" borderId="0" xfId="0" applyNumberFormat="1" applyFont="1"/>
    <xf numFmtId="10" fontId="3" fillId="0" borderId="0" xfId="0" applyNumberFormat="1" applyFont="1" applyAlignment="1">
      <alignment horizontal="center"/>
    </xf>
    <xf numFmtId="10" fontId="3" fillId="0" borderId="0" xfId="3" applyNumberFormat="1" applyFont="1" applyFill="1"/>
    <xf numFmtId="171" fontId="3" fillId="0" borderId="0" xfId="3" applyNumberFormat="1" applyFont="1" applyFill="1"/>
    <xf numFmtId="10" fontId="3" fillId="0" borderId="0" xfId="0" applyNumberFormat="1" applyFont="1"/>
    <xf numFmtId="173" fontId="3" fillId="0" borderId="0" xfId="0" applyNumberFormat="1" applyFont="1"/>
    <xf numFmtId="164" fontId="3" fillId="0" borderId="0" xfId="0" applyNumberFormat="1" applyFont="1"/>
    <xf numFmtId="1" fontId="3" fillId="0" borderId="0" xfId="0" applyNumberFormat="1" applyFont="1"/>
    <xf numFmtId="170" fontId="3" fillId="0" borderId="0" xfId="0" applyFont="1" applyAlignment="1">
      <alignment horizontal="right"/>
    </xf>
    <xf numFmtId="0" fontId="4" fillId="0" borderId="0" xfId="0" applyNumberFormat="1" applyFont="1"/>
    <xf numFmtId="170" fontId="4" fillId="0" borderId="0" xfId="0" applyFont="1"/>
    <xf numFmtId="170" fontId="4" fillId="0" borderId="1" xfId="0" applyFont="1" applyBorder="1" applyAlignment="1">
      <alignment horizontal="center"/>
    </xf>
    <xf numFmtId="170" fontId="4" fillId="0" borderId="1" xfId="0" quotePrefix="1" applyFont="1" applyBorder="1" applyAlignment="1">
      <alignment horizontal="center"/>
    </xf>
    <xf numFmtId="165" fontId="3" fillId="0" borderId="0" xfId="0" applyNumberFormat="1" applyFont="1"/>
    <xf numFmtId="14" fontId="3" fillId="0" borderId="0" xfId="0" applyNumberFormat="1" applyFont="1"/>
    <xf numFmtId="3" fontId="3" fillId="0" borderId="0" xfId="0" applyNumberFormat="1" applyFont="1"/>
    <xf numFmtId="4" fontId="3" fillId="0" borderId="0" xfId="0" applyNumberFormat="1" applyFont="1"/>
    <xf numFmtId="166" fontId="3" fillId="0" borderId="0" xfId="0" applyNumberFormat="1" applyFont="1"/>
    <xf numFmtId="0" fontId="3" fillId="0" borderId="1" xfId="0" applyNumberFormat="1" applyFont="1" applyBorder="1"/>
    <xf numFmtId="14" fontId="3" fillId="0" borderId="1" xfId="0" applyNumberFormat="1" applyFont="1" applyBorder="1"/>
    <xf numFmtId="3" fontId="3" fillId="0" borderId="1" xfId="0" applyNumberFormat="1" applyFont="1" applyBorder="1"/>
    <xf numFmtId="4" fontId="3" fillId="0" borderId="1" xfId="0" applyNumberFormat="1" applyFont="1" applyBorder="1"/>
    <xf numFmtId="166" fontId="3" fillId="0" borderId="1" xfId="0" applyNumberFormat="1" applyFont="1" applyBorder="1"/>
    <xf numFmtId="10" fontId="3" fillId="0" borderId="1" xfId="3" applyNumberFormat="1" applyFont="1" applyFill="1" applyBorder="1"/>
    <xf numFmtId="167" fontId="3" fillId="0" borderId="1" xfId="0" applyNumberFormat="1" applyFont="1" applyBorder="1"/>
    <xf numFmtId="10" fontId="3" fillId="0" borderId="1" xfId="0" applyNumberFormat="1" applyFont="1" applyBorder="1"/>
    <xf numFmtId="43" fontId="3" fillId="0" borderId="1" xfId="1" applyFont="1" applyFill="1" applyBorder="1"/>
    <xf numFmtId="164" fontId="3" fillId="0" borderId="1" xfId="0" applyNumberFormat="1" applyFont="1" applyBorder="1"/>
    <xf numFmtId="170" fontId="18" fillId="0" borderId="0" xfId="0" applyFont="1" applyProtection="1">
      <protection hidden="1"/>
    </xf>
    <xf numFmtId="170" fontId="19" fillId="0" borderId="0" xfId="0" applyFont="1" applyAlignment="1" applyProtection="1">
      <alignment vertical="center" textRotation="90"/>
      <protection hidden="1"/>
    </xf>
    <xf numFmtId="170" fontId="20" fillId="0" borderId="0" xfId="0" applyFont="1" applyProtection="1">
      <protection hidden="1"/>
    </xf>
    <xf numFmtId="170" fontId="19" fillId="0" borderId="0" xfId="0" applyFont="1" applyProtection="1">
      <protection hidden="1"/>
    </xf>
    <xf numFmtId="170" fontId="21" fillId="0" borderId="0" xfId="0" applyFont="1" applyProtection="1">
      <protection hidden="1"/>
    </xf>
    <xf numFmtId="170" fontId="19" fillId="0" borderId="0" xfId="0" applyFont="1" applyAlignment="1" applyProtection="1">
      <alignment wrapText="1"/>
      <protection hidden="1"/>
    </xf>
    <xf numFmtId="44" fontId="19" fillId="0" borderId="0" xfId="2" applyFont="1" applyAlignment="1" applyProtection="1">
      <alignment vertical="top" wrapText="1"/>
      <protection hidden="1"/>
    </xf>
    <xf numFmtId="170" fontId="21" fillId="0" borderId="0" xfId="0" applyFont="1" applyAlignment="1" applyProtection="1">
      <alignment vertical="center"/>
      <protection hidden="1"/>
    </xf>
    <xf numFmtId="170" fontId="22" fillId="0" borderId="0" xfId="0" applyFont="1" applyAlignment="1" applyProtection="1">
      <alignment vertical="center"/>
      <protection hidden="1"/>
    </xf>
    <xf numFmtId="170" fontId="18" fillId="0" borderId="9" xfId="0" applyFont="1" applyBorder="1" applyProtection="1">
      <protection hidden="1"/>
    </xf>
    <xf numFmtId="170" fontId="18" fillId="0" borderId="10" xfId="0" applyFont="1" applyBorder="1" applyAlignment="1" applyProtection="1">
      <alignment horizontal="center"/>
      <protection hidden="1"/>
    </xf>
    <xf numFmtId="170" fontId="18" fillId="0" borderId="10" xfId="0" applyFont="1" applyBorder="1" applyProtection="1">
      <protection hidden="1"/>
    </xf>
    <xf numFmtId="170" fontId="19" fillId="0" borderId="0" xfId="0" applyFont="1" applyAlignment="1" applyProtection="1">
      <alignment vertical="top"/>
      <protection hidden="1"/>
    </xf>
    <xf numFmtId="170" fontId="21" fillId="0" borderId="0" xfId="0" applyFont="1" applyAlignment="1" applyProtection="1">
      <alignment horizontal="center"/>
      <protection hidden="1"/>
    </xf>
    <xf numFmtId="170" fontId="21" fillId="0" borderId="24" xfId="0" applyFont="1" applyBorder="1" applyProtection="1">
      <protection hidden="1"/>
    </xf>
    <xf numFmtId="170" fontId="18" fillId="0" borderId="0" xfId="0" applyFont="1" applyAlignment="1" applyProtection="1">
      <alignment vertical="center"/>
      <protection hidden="1"/>
    </xf>
    <xf numFmtId="166" fontId="21" fillId="0" borderId="0" xfId="0" applyNumberFormat="1" applyFont="1" applyAlignment="1" applyProtection="1">
      <alignment horizontal="center" vertical="center"/>
      <protection hidden="1"/>
    </xf>
    <xf numFmtId="10" fontId="21" fillId="0" borderId="0" xfId="3" applyNumberFormat="1" applyFont="1" applyProtection="1">
      <protection hidden="1"/>
    </xf>
    <xf numFmtId="170" fontId="27" fillId="0" borderId="0" xfId="4" applyFont="1" applyProtection="1">
      <protection hidden="1"/>
    </xf>
    <xf numFmtId="170" fontId="19" fillId="0" borderId="24" xfId="0" applyFont="1" applyBorder="1" applyProtection="1">
      <protection hidden="1"/>
    </xf>
    <xf numFmtId="170" fontId="19" fillId="0" borderId="11" xfId="0" applyFont="1" applyBorder="1" applyAlignment="1" applyProtection="1">
      <alignment wrapText="1"/>
      <protection hidden="1"/>
    </xf>
    <xf numFmtId="0" fontId="23" fillId="6" borderId="0" xfId="0" applyNumberFormat="1" applyFont="1" applyFill="1" applyAlignment="1" applyProtection="1">
      <alignment horizontal="center"/>
      <protection hidden="1"/>
    </xf>
    <xf numFmtId="170" fontId="23" fillId="6" borderId="0" xfId="0" applyFont="1" applyFill="1" applyAlignment="1" applyProtection="1">
      <alignment horizontal="center"/>
      <protection hidden="1"/>
    </xf>
    <xf numFmtId="1" fontId="21" fillId="0" borderId="0" xfId="0" applyNumberFormat="1" applyFont="1" applyAlignment="1" applyProtection="1">
      <alignment horizontal="center" vertical="center"/>
      <protection hidden="1"/>
    </xf>
    <xf numFmtId="170" fontId="18" fillId="0" borderId="9" xfId="0" applyFont="1" applyBorder="1" applyAlignment="1" applyProtection="1">
      <alignment horizontal="left"/>
      <protection hidden="1"/>
    </xf>
    <xf numFmtId="170" fontId="18" fillId="0" borderId="9" xfId="0" applyFont="1" applyBorder="1" applyAlignment="1" applyProtection="1">
      <alignment horizontal="center"/>
      <protection hidden="1"/>
    </xf>
    <xf numFmtId="14" fontId="21" fillId="0" borderId="0" xfId="0" applyNumberFormat="1" applyFont="1" applyAlignment="1" applyProtection="1">
      <alignment horizontal="center"/>
      <protection hidden="1"/>
    </xf>
    <xf numFmtId="0" fontId="23" fillId="0" borderId="0" xfId="0" applyNumberFormat="1" applyFont="1" applyAlignment="1" applyProtection="1">
      <alignment horizontal="center"/>
      <protection hidden="1"/>
    </xf>
    <xf numFmtId="10" fontId="21" fillId="0" borderId="0" xfId="3" applyNumberFormat="1" applyFont="1" applyAlignment="1" applyProtection="1">
      <alignment horizontal="center" vertical="center"/>
      <protection hidden="1"/>
    </xf>
    <xf numFmtId="170" fontId="21" fillId="0" borderId="9" xfId="0" applyFont="1" applyBorder="1" applyAlignment="1" applyProtection="1">
      <alignment horizontal="center"/>
      <protection hidden="1"/>
    </xf>
    <xf numFmtId="0" fontId="18" fillId="0" borderId="0" xfId="0" applyNumberFormat="1" applyFont="1" applyAlignment="1" applyProtection="1">
      <alignment horizontal="center"/>
      <protection hidden="1"/>
    </xf>
    <xf numFmtId="0" fontId="21" fillId="0" borderId="0" xfId="0" applyNumberFormat="1" applyFont="1" applyAlignment="1" applyProtection="1">
      <alignment horizontal="center"/>
      <protection hidden="1"/>
    </xf>
    <xf numFmtId="0" fontId="18" fillId="0" borderId="11" xfId="0" applyNumberFormat="1" applyFont="1" applyBorder="1" applyAlignment="1" applyProtection="1">
      <alignment horizontal="center"/>
      <protection hidden="1"/>
    </xf>
    <xf numFmtId="170" fontId="21" fillId="0" borderId="11" xfId="0" applyFont="1" applyBorder="1" applyAlignment="1" applyProtection="1">
      <alignment horizontal="center"/>
      <protection hidden="1"/>
    </xf>
    <xf numFmtId="0" fontId="18" fillId="0" borderId="11" xfId="0" applyNumberFormat="1" applyFont="1" applyBorder="1" applyAlignment="1" applyProtection="1">
      <alignment horizontal="left"/>
      <protection hidden="1"/>
    </xf>
    <xf numFmtId="0" fontId="21" fillId="0" borderId="11" xfId="0" applyNumberFormat="1" applyFont="1" applyBorder="1" applyAlignment="1" applyProtection="1">
      <alignment horizontal="center"/>
      <protection hidden="1"/>
    </xf>
    <xf numFmtId="170" fontId="29" fillId="0" borderId="0" xfId="0" applyFont="1" applyProtection="1">
      <protection hidden="1"/>
    </xf>
    <xf numFmtId="170" fontId="29" fillId="0" borderId="0" xfId="0" quotePrefix="1" applyFont="1" applyAlignment="1" applyProtection="1">
      <alignment horizontal="left" vertical="center" wrapText="1"/>
      <protection hidden="1"/>
    </xf>
    <xf numFmtId="170" fontId="29" fillId="0" borderId="0" xfId="0" quotePrefix="1" applyFont="1" applyAlignment="1" applyProtection="1">
      <alignment vertical="center"/>
      <protection hidden="1"/>
    </xf>
    <xf numFmtId="170" fontId="29" fillId="0" borderId="0" xfId="0" quotePrefix="1" applyFont="1" applyAlignment="1" applyProtection="1">
      <alignment vertical="center" wrapText="1"/>
      <protection hidden="1"/>
    </xf>
    <xf numFmtId="170" fontId="23" fillId="6" borderId="25" xfId="0" applyFont="1" applyFill="1" applyBorder="1" applyAlignment="1" applyProtection="1">
      <alignment horizontal="center"/>
      <protection hidden="1"/>
    </xf>
    <xf numFmtId="3" fontId="21" fillId="0" borderId="0" xfId="0" applyNumberFormat="1" applyFont="1" applyAlignment="1" applyProtection="1">
      <alignment horizontal="right"/>
      <protection hidden="1"/>
    </xf>
    <xf numFmtId="3" fontId="21" fillId="0" borderId="24" xfId="0" applyNumberFormat="1" applyFont="1" applyBorder="1" applyAlignment="1" applyProtection="1">
      <alignment horizontal="right"/>
      <protection hidden="1"/>
    </xf>
    <xf numFmtId="170" fontId="33" fillId="0" borderId="0" xfId="0" applyFont="1" applyAlignment="1" applyProtection="1">
      <alignment vertical="center"/>
      <protection hidden="1"/>
    </xf>
    <xf numFmtId="171" fontId="16" fillId="0" borderId="0" xfId="3" applyNumberFormat="1" applyFont="1" applyFill="1" applyProtection="1">
      <protection hidden="1"/>
    </xf>
    <xf numFmtId="10" fontId="10" fillId="0" borderId="0" xfId="9" applyNumberFormat="1" applyFont="1" applyFill="1" applyProtection="1">
      <protection hidden="1"/>
    </xf>
    <xf numFmtId="170" fontId="34" fillId="0" borderId="0" xfId="10"/>
    <xf numFmtId="2" fontId="0" fillId="0" borderId="0" xfId="11" applyNumberFormat="1" applyFont="1"/>
    <xf numFmtId="14" fontId="3" fillId="0" borderId="0" xfId="10" applyNumberFormat="1" applyFont="1"/>
    <xf numFmtId="170" fontId="3" fillId="0" borderId="0" xfId="10" applyFont="1"/>
    <xf numFmtId="0" fontId="34" fillId="4" borderId="0" xfId="10" applyNumberFormat="1" applyFill="1"/>
    <xf numFmtId="0" fontId="34" fillId="0" borderId="0" xfId="10" applyNumberFormat="1"/>
    <xf numFmtId="14" fontId="3" fillId="0" borderId="1" xfId="10" applyNumberFormat="1" applyFont="1" applyBorder="1"/>
    <xf numFmtId="0" fontId="3" fillId="0" borderId="1" xfId="10" applyNumberFormat="1" applyFont="1" applyBorder="1"/>
    <xf numFmtId="0" fontId="3" fillId="0" borderId="0" xfId="10" applyNumberFormat="1" applyFont="1"/>
    <xf numFmtId="170" fontId="34" fillId="0" borderId="1" xfId="10" applyBorder="1"/>
    <xf numFmtId="0" fontId="34" fillId="4" borderId="1" xfId="10" applyNumberFormat="1" applyFill="1" applyBorder="1"/>
    <xf numFmtId="0" fontId="34" fillId="0" borderId="1" xfId="10" applyNumberFormat="1" applyBorder="1"/>
    <xf numFmtId="0" fontId="5" fillId="4" borderId="1" xfId="10" applyNumberFormat="1" applyFont="1" applyFill="1" applyBorder="1"/>
    <xf numFmtId="0" fontId="5" fillId="4" borderId="0" xfId="10" applyNumberFormat="1" applyFont="1" applyFill="1"/>
    <xf numFmtId="0" fontId="5" fillId="0" borderId="0" xfId="10" applyNumberFormat="1" applyFont="1"/>
    <xf numFmtId="0" fontId="34" fillId="0" borderId="0" xfId="10" applyNumberFormat="1" applyAlignment="1">
      <alignment horizontal="left"/>
    </xf>
    <xf numFmtId="2" fontId="34" fillId="0" borderId="0" xfId="10" applyNumberFormat="1"/>
    <xf numFmtId="170" fontId="5" fillId="0" borderId="0" xfId="10" applyFont="1"/>
    <xf numFmtId="14" fontId="3" fillId="4" borderId="0" xfId="10" applyNumberFormat="1" applyFont="1" applyFill="1"/>
    <xf numFmtId="170" fontId="4" fillId="3" borderId="1" xfId="10" applyFont="1" applyFill="1" applyBorder="1" applyAlignment="1">
      <alignment horizontal="center"/>
    </xf>
    <xf numFmtId="170" fontId="6" fillId="2" borderId="0" xfId="10" applyFont="1" applyFill="1" applyAlignment="1">
      <alignment horizontal="center"/>
    </xf>
    <xf numFmtId="170" fontId="6" fillId="2" borderId="0" xfId="10" applyFont="1" applyFill="1"/>
    <xf numFmtId="0" fontId="5" fillId="0" borderId="0" xfId="10" quotePrefix="1" applyNumberFormat="1" applyFont="1"/>
    <xf numFmtId="170" fontId="34" fillId="4" borderId="0" xfId="10" applyFill="1"/>
    <xf numFmtId="170" fontId="7" fillId="4" borderId="0" xfId="10" applyFont="1" applyFill="1"/>
    <xf numFmtId="170" fontId="35" fillId="0" borderId="0" xfId="0" applyFont="1" applyProtection="1">
      <protection hidden="1"/>
    </xf>
    <xf numFmtId="170" fontId="35" fillId="0" borderId="0" xfId="5" applyFont="1" applyProtection="1">
      <protection hidden="1"/>
    </xf>
    <xf numFmtId="10" fontId="35" fillId="0" borderId="0" xfId="5" applyNumberFormat="1" applyFont="1" applyProtection="1">
      <protection hidden="1"/>
    </xf>
    <xf numFmtId="170" fontId="35" fillId="0" borderId="0" xfId="0" applyFont="1" applyAlignment="1" applyProtection="1">
      <alignment horizontal="left"/>
      <protection hidden="1"/>
    </xf>
    <xf numFmtId="9" fontId="35" fillId="0" borderId="0" xfId="3" applyFont="1" applyProtection="1">
      <protection hidden="1"/>
    </xf>
    <xf numFmtId="174" fontId="36" fillId="0" borderId="0" xfId="1" applyNumberFormat="1" applyFont="1"/>
    <xf numFmtId="168" fontId="36" fillId="0" borderId="0" xfId="1" applyNumberFormat="1" applyFont="1"/>
    <xf numFmtId="169" fontId="35" fillId="7" borderId="0" xfId="0" applyNumberFormat="1" applyFont="1" applyFill="1" applyAlignment="1" applyProtection="1">
      <alignment horizontal="left"/>
      <protection hidden="1"/>
    </xf>
    <xf numFmtId="170" fontId="35" fillId="5" borderId="0" xfId="0" applyFont="1" applyFill="1" applyProtection="1">
      <protection hidden="1"/>
    </xf>
    <xf numFmtId="43" fontId="35" fillId="5" borderId="0" xfId="1" applyFont="1" applyFill="1" applyProtection="1">
      <protection hidden="1"/>
    </xf>
    <xf numFmtId="10" fontId="0" fillId="0" borderId="0" xfId="3" applyNumberFormat="1" applyFont="1" applyFill="1" applyAlignment="1">
      <alignment horizontal="center"/>
    </xf>
    <xf numFmtId="10" fontId="0" fillId="0" borderId="0" xfId="3" applyNumberFormat="1" applyFont="1" applyAlignment="1">
      <alignment horizontal="center"/>
    </xf>
    <xf numFmtId="0" fontId="37" fillId="6" borderId="0" xfId="9" applyNumberFormat="1" applyFont="1" applyFill="1" applyAlignment="1" applyProtection="1">
      <alignment horizontal="center" vertical="center"/>
      <protection hidden="1"/>
    </xf>
    <xf numFmtId="2" fontId="21" fillId="0" borderId="0" xfId="0" applyNumberFormat="1" applyFont="1" applyProtection="1">
      <protection hidden="1"/>
    </xf>
    <xf numFmtId="175" fontId="21" fillId="0" borderId="0" xfId="0" applyNumberFormat="1" applyFont="1" applyProtection="1">
      <protection hidden="1"/>
    </xf>
    <xf numFmtId="176" fontId="21" fillId="0" borderId="0" xfId="0" applyNumberFormat="1" applyFont="1" applyProtection="1">
      <protection hidden="1"/>
    </xf>
    <xf numFmtId="10" fontId="0" fillId="4" borderId="0" xfId="3" applyNumberFormat="1" applyFont="1" applyFill="1" applyAlignment="1">
      <alignment horizontal="center"/>
    </xf>
    <xf numFmtId="166" fontId="39" fillId="0" borderId="0" xfId="1" applyNumberFormat="1" applyFont="1" applyAlignment="1" applyProtection="1">
      <alignment horizontal="center" vertical="center"/>
      <protection hidden="1"/>
    </xf>
    <xf numFmtId="0" fontId="37" fillId="6" borderId="0" xfId="6" applyNumberFormat="1" applyFont="1" applyFill="1" applyAlignment="1" applyProtection="1">
      <alignment horizontal="center" vertical="center"/>
      <protection hidden="1"/>
    </xf>
    <xf numFmtId="0" fontId="16" fillId="4" borderId="0" xfId="8" applyNumberFormat="1" applyFont="1" applyFill="1" applyAlignment="1" applyProtection="1">
      <alignment horizontal="center"/>
      <protection hidden="1"/>
    </xf>
    <xf numFmtId="14" fontId="11" fillId="4" borderId="0" xfId="8" applyNumberFormat="1" applyFont="1" applyFill="1" applyProtection="1">
      <protection hidden="1"/>
    </xf>
    <xf numFmtId="14" fontId="16" fillId="4" borderId="0" xfId="8" applyNumberFormat="1" applyFont="1" applyFill="1" applyProtection="1">
      <protection hidden="1"/>
    </xf>
    <xf numFmtId="170" fontId="4" fillId="2" borderId="0" xfId="10" applyFont="1" applyFill="1"/>
    <xf numFmtId="170" fontId="21" fillId="0" borderId="0" xfId="0" applyFont="1" applyAlignment="1" applyProtection="1">
      <alignment horizontal="right" vertical="center"/>
      <protection hidden="1"/>
    </xf>
    <xf numFmtId="169" fontId="19" fillId="0" borderId="0" xfId="2" applyNumberFormat="1" applyFont="1" applyAlignment="1" applyProtection="1">
      <alignment horizontal="center" vertical="center"/>
      <protection hidden="1"/>
    </xf>
    <xf numFmtId="170" fontId="19" fillId="0" borderId="0" xfId="0" applyFont="1" applyAlignment="1" applyProtection="1">
      <alignment horizontal="center" vertical="center"/>
      <protection hidden="1"/>
    </xf>
    <xf numFmtId="10" fontId="19" fillId="0" borderId="0" xfId="0" applyNumberFormat="1" applyFont="1" applyAlignment="1" applyProtection="1">
      <alignment horizontal="center" vertical="center"/>
      <protection hidden="1"/>
    </xf>
    <xf numFmtId="170" fontId="0" fillId="0" borderId="0" xfId="0" applyProtection="1">
      <protection hidden="1"/>
    </xf>
    <xf numFmtId="170" fontId="28" fillId="0" borderId="0" xfId="0" applyFont="1" applyAlignment="1" applyProtection="1">
      <alignment horizontal="center"/>
      <protection hidden="1"/>
    </xf>
    <xf numFmtId="166" fontId="21" fillId="10" borderId="0" xfId="0" applyNumberFormat="1" applyFont="1" applyFill="1" applyAlignment="1" applyProtection="1">
      <alignment horizontal="right" vertical="center"/>
      <protection locked="0" hidden="1"/>
    </xf>
    <xf numFmtId="0" fontId="21" fillId="10" borderId="0" xfId="0" applyNumberFormat="1" applyFont="1" applyFill="1" applyAlignment="1" applyProtection="1">
      <alignment horizontal="right" vertical="center"/>
      <protection locked="0" hidden="1"/>
    </xf>
    <xf numFmtId="170" fontId="21" fillId="10" borderId="0" xfId="0" applyFont="1" applyFill="1" applyAlignment="1" applyProtection="1">
      <alignment horizontal="right"/>
      <protection locked="0" hidden="1"/>
    </xf>
    <xf numFmtId="10" fontId="18" fillId="10" borderId="18" xfId="0" applyNumberFormat="1" applyFont="1" applyFill="1" applyBorder="1" applyAlignment="1" applyProtection="1">
      <alignment horizontal="center" vertical="center"/>
      <protection locked="0" hidden="1"/>
    </xf>
    <xf numFmtId="10" fontId="18" fillId="10" borderId="20" xfId="0" applyNumberFormat="1" applyFont="1" applyFill="1" applyBorder="1" applyAlignment="1" applyProtection="1">
      <alignment horizontal="center" vertical="center" wrapText="1"/>
      <protection locked="0" hidden="1"/>
    </xf>
    <xf numFmtId="166" fontId="21" fillId="0" borderId="0" xfId="0" applyNumberFormat="1" applyFont="1" applyAlignment="1" applyProtection="1">
      <alignment horizontal="center" vertical="center" wrapText="1"/>
      <protection hidden="1"/>
    </xf>
    <xf numFmtId="166" fontId="21" fillId="0" borderId="11" xfId="0" applyNumberFormat="1" applyFont="1" applyBorder="1" applyAlignment="1" applyProtection="1">
      <alignment horizontal="center" vertical="center" wrapText="1"/>
      <protection hidden="1"/>
    </xf>
    <xf numFmtId="170" fontId="23" fillId="6" borderId="26" xfId="0" applyFont="1" applyFill="1" applyBorder="1" applyAlignment="1" applyProtection="1">
      <alignment horizontal="center"/>
      <protection hidden="1"/>
    </xf>
    <xf numFmtId="10" fontId="21" fillId="10" borderId="0" xfId="0" applyNumberFormat="1" applyFont="1" applyFill="1" applyAlignment="1" applyProtection="1">
      <alignment horizontal="right" vertical="center"/>
      <protection hidden="1"/>
    </xf>
    <xf numFmtId="10" fontId="21" fillId="9" borderId="0" xfId="0" applyNumberFormat="1" applyFont="1" applyFill="1" applyAlignment="1" applyProtection="1">
      <alignment horizontal="center"/>
      <protection locked="0" hidden="1"/>
    </xf>
    <xf numFmtId="170" fontId="19" fillId="0" borderId="11" xfId="0" applyFont="1" applyBorder="1" applyAlignment="1" applyProtection="1">
      <alignment wrapText="1"/>
      <protection locked="0" hidden="1"/>
    </xf>
    <xf numFmtId="2" fontId="0" fillId="4" borderId="0" xfId="0" applyNumberFormat="1" applyFill="1" applyAlignment="1">
      <alignment horizontal="right" vertical="center" wrapText="1"/>
    </xf>
    <xf numFmtId="2" fontId="5" fillId="0" borderId="0" xfId="10" quotePrefix="1" applyNumberFormat="1" applyFont="1" applyAlignment="1">
      <alignment wrapText="1"/>
    </xf>
    <xf numFmtId="1" fontId="34" fillId="0" borderId="0" xfId="10" applyNumberFormat="1" applyAlignment="1">
      <alignment horizontal="left"/>
    </xf>
    <xf numFmtId="170" fontId="30" fillId="0" borderId="0" xfId="0" applyFont="1" applyAlignment="1" applyProtection="1">
      <alignment horizontal="left" wrapText="1"/>
      <protection hidden="1"/>
    </xf>
    <xf numFmtId="170" fontId="31" fillId="0" borderId="0" xfId="0" applyFont="1" applyAlignment="1" applyProtection="1">
      <alignment horizontal="left" wrapText="1"/>
      <protection hidden="1"/>
    </xf>
    <xf numFmtId="166" fontId="21" fillId="0" borderId="11" xfId="0" applyNumberFormat="1" applyFont="1" applyBorder="1" applyAlignment="1" applyProtection="1">
      <alignment horizontal="center" vertical="center" wrapText="1"/>
      <protection hidden="1"/>
    </xf>
    <xf numFmtId="166" fontId="21" fillId="0" borderId="13" xfId="0" applyNumberFormat="1" applyFont="1" applyBorder="1" applyAlignment="1" applyProtection="1">
      <alignment horizontal="center" vertical="center" wrapText="1"/>
      <protection hidden="1"/>
    </xf>
    <xf numFmtId="166" fontId="21" fillId="0" borderId="0" xfId="0" applyNumberFormat="1" applyFont="1" applyAlignment="1" applyProtection="1">
      <alignment horizontal="center" vertical="center" wrapText="1"/>
      <protection hidden="1"/>
    </xf>
    <xf numFmtId="166" fontId="21" fillId="0" borderId="19" xfId="0" applyNumberFormat="1" applyFont="1" applyBorder="1" applyAlignment="1" applyProtection="1">
      <alignment horizontal="center" vertical="center" wrapText="1"/>
      <protection hidden="1"/>
    </xf>
    <xf numFmtId="170" fontId="23" fillId="6" borderId="26" xfId="0" applyFont="1" applyFill="1" applyBorder="1" applyAlignment="1" applyProtection="1">
      <alignment horizontal="center"/>
      <protection hidden="1"/>
    </xf>
    <xf numFmtId="170" fontId="23" fillId="6" borderId="27" xfId="0" applyFont="1" applyFill="1" applyBorder="1" applyAlignment="1" applyProtection="1">
      <alignment horizontal="center"/>
      <protection hidden="1"/>
    </xf>
    <xf numFmtId="170" fontId="23" fillId="6" borderId="14" xfId="0" applyFont="1" applyFill="1" applyBorder="1" applyAlignment="1" applyProtection="1">
      <alignment horizontal="center" vertical="center"/>
      <protection hidden="1"/>
    </xf>
    <xf numFmtId="170" fontId="23" fillId="6" borderId="15" xfId="0" applyFont="1" applyFill="1" applyBorder="1" applyAlignment="1" applyProtection="1">
      <alignment horizontal="center" vertical="center"/>
      <protection hidden="1"/>
    </xf>
    <xf numFmtId="170" fontId="23" fillId="6" borderId="21" xfId="0" applyFont="1" applyFill="1" applyBorder="1" applyAlignment="1" applyProtection="1">
      <alignment horizontal="center" vertical="center"/>
      <protection hidden="1"/>
    </xf>
    <xf numFmtId="170" fontId="23" fillId="6" borderId="22" xfId="0" applyFont="1" applyFill="1" applyBorder="1" applyAlignment="1" applyProtection="1">
      <alignment horizontal="center" vertical="center"/>
      <protection hidden="1"/>
    </xf>
    <xf numFmtId="170" fontId="23" fillId="6" borderId="0" xfId="0" applyFont="1" applyFill="1" applyAlignment="1" applyProtection="1">
      <alignment horizontal="center" vertical="center"/>
      <protection hidden="1"/>
    </xf>
    <xf numFmtId="170" fontId="23" fillId="6" borderId="23" xfId="0" applyFont="1" applyFill="1" applyBorder="1" applyAlignment="1" applyProtection="1">
      <alignment horizontal="center" vertical="center"/>
      <protection hidden="1"/>
    </xf>
    <xf numFmtId="166" fontId="26" fillId="0" borderId="18" xfId="0" applyNumberFormat="1" applyFont="1" applyBorder="1" applyAlignment="1" applyProtection="1">
      <alignment horizontal="center" vertical="center"/>
      <protection hidden="1"/>
    </xf>
    <xf numFmtId="166" fontId="26" fillId="0" borderId="0" xfId="0" applyNumberFormat="1" applyFont="1" applyAlignment="1" applyProtection="1">
      <alignment horizontal="center" vertical="center"/>
      <protection hidden="1"/>
    </xf>
    <xf numFmtId="166" fontId="26" fillId="0" borderId="19" xfId="0" applyNumberFormat="1" applyFont="1" applyBorder="1" applyAlignment="1" applyProtection="1">
      <alignment horizontal="center" vertical="center"/>
      <protection hidden="1"/>
    </xf>
    <xf numFmtId="166" fontId="26" fillId="0" borderId="20" xfId="0" applyNumberFormat="1" applyFont="1" applyBorder="1" applyAlignment="1" applyProtection="1">
      <alignment horizontal="center" vertical="center"/>
      <protection hidden="1"/>
    </xf>
    <xf numFmtId="166" fontId="26" fillId="0" borderId="11" xfId="0" applyNumberFormat="1" applyFont="1" applyBorder="1" applyAlignment="1" applyProtection="1">
      <alignment horizontal="center" vertical="center"/>
      <protection hidden="1"/>
    </xf>
    <xf numFmtId="166" fontId="26" fillId="0" borderId="13" xfId="0" applyNumberFormat="1" applyFont="1" applyBorder="1" applyAlignment="1" applyProtection="1">
      <alignment horizontal="center" vertical="center"/>
      <protection hidden="1"/>
    </xf>
    <xf numFmtId="170" fontId="21" fillId="10" borderId="0" xfId="0" applyFont="1" applyFill="1" applyAlignment="1" applyProtection="1">
      <alignment horizontal="left" vertical="center"/>
      <protection locked="0" hidden="1"/>
    </xf>
    <xf numFmtId="170" fontId="23" fillId="6" borderId="16" xfId="0" applyFont="1" applyFill="1" applyBorder="1" applyAlignment="1" applyProtection="1">
      <alignment horizontal="center" vertical="center"/>
      <protection hidden="1"/>
    </xf>
    <xf numFmtId="170" fontId="23" fillId="6" borderId="17" xfId="0" applyFont="1" applyFill="1" applyBorder="1" applyAlignment="1" applyProtection="1">
      <alignment horizontal="center" vertical="center"/>
      <protection hidden="1"/>
    </xf>
    <xf numFmtId="166" fontId="24" fillId="0" borderId="12" xfId="0" applyNumberFormat="1" applyFont="1" applyBorder="1" applyAlignment="1" applyProtection="1">
      <alignment horizontal="center" vertical="center"/>
      <protection hidden="1"/>
    </xf>
    <xf numFmtId="166" fontId="24" fillId="0" borderId="13" xfId="0" applyNumberFormat="1" applyFont="1" applyBorder="1" applyAlignment="1" applyProtection="1">
      <alignment horizontal="center" vertical="center"/>
      <protection hidden="1"/>
    </xf>
    <xf numFmtId="170" fontId="25" fillId="0" borderId="0" xfId="0" applyFont="1" applyAlignment="1" applyProtection="1">
      <alignment horizontal="center" vertical="center"/>
      <protection hidden="1"/>
    </xf>
  </cellXfs>
  <cellStyles count="12">
    <cellStyle name="blp_column_header" xfId="6" xr:uid="{00000000-0005-0000-0000-000000000000}"/>
    <cellStyle name="Comma" xfId="1" builtinId="3"/>
    <cellStyle name="Currency" xfId="2" builtinId="4"/>
    <cellStyle name="Hyperlink" xfId="4" builtinId="8"/>
    <cellStyle name="Normal" xfId="0" builtinId="0"/>
    <cellStyle name="Normal 2" xfId="5" xr:uid="{00000000-0005-0000-0000-000005000000}"/>
    <cellStyle name="Normal 2 2" xfId="10" xr:uid="{824798F7-1C08-4C6C-8359-248976A3BBC3}"/>
    <cellStyle name="Normal 3" xfId="8" xr:uid="{00000000-0005-0000-0000-000006000000}"/>
    <cellStyle name="Percent" xfId="3" builtinId="5"/>
    <cellStyle name="Percent 2" xfId="7" xr:uid="{00000000-0005-0000-0000-000008000000}"/>
    <cellStyle name="Percent 2 2" xfId="11" xr:uid="{D7A0BEF5-600D-4A88-94A1-56F1255C6D79}"/>
    <cellStyle name="Percent 3" xfId="9" xr:uid="{00000000-0005-0000-0000-000009000000}"/>
  </cellStyles>
  <dxfs count="12">
    <dxf>
      <font>
        <color theme="0"/>
      </font>
      <fill>
        <patternFill>
          <bgColor theme="0"/>
        </patternFill>
      </fill>
    </dxf>
    <dxf>
      <font>
        <color theme="0"/>
      </font>
      <fill>
        <patternFill>
          <bgColor theme="0"/>
        </patternFill>
      </fill>
    </dxf>
    <dxf>
      <font>
        <color theme="0"/>
      </font>
      <fill>
        <patternFill>
          <bgColor theme="0"/>
        </patternFill>
      </fill>
    </dxf>
    <dxf>
      <font>
        <color theme="0"/>
      </font>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EED86D"/>
      <color rgb="FFF6C56E"/>
      <color rgb="FFFFDA65"/>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7884</xdr:colOff>
      <xdr:row>8</xdr:row>
      <xdr:rowOff>195550</xdr:rowOff>
    </xdr:to>
    <xdr:grpSp>
      <xdr:nvGrpSpPr>
        <xdr:cNvPr id="18" name="Group 17">
          <a:extLst>
            <a:ext uri="{FF2B5EF4-FFF2-40B4-BE49-F238E27FC236}">
              <a16:creationId xmlns:a16="http://schemas.microsoft.com/office/drawing/2014/main" id="{9575B7AA-EB4C-4805-8FA1-39C98D4A6CD3}"/>
            </a:ext>
          </a:extLst>
        </xdr:cNvPr>
        <xdr:cNvGrpSpPr/>
      </xdr:nvGrpSpPr>
      <xdr:grpSpPr>
        <a:xfrm>
          <a:off x="400050" y="400050"/>
          <a:ext cx="3474984" cy="1490950"/>
          <a:chOff x="400049" y="287267"/>
          <a:chExt cx="3474984" cy="1433802"/>
        </a:xfrm>
      </xdr:grpSpPr>
      <xdr:pic>
        <xdr:nvPicPr>
          <xdr:cNvPr id="19" name="Picture 18">
            <a:extLst>
              <a:ext uri="{FF2B5EF4-FFF2-40B4-BE49-F238E27FC236}">
                <a16:creationId xmlns:a16="http://schemas.microsoft.com/office/drawing/2014/main" id="{F68753D3-0028-4B7F-8CED-5FB050B20027}"/>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0" name="Group 19">
            <a:extLst>
              <a:ext uri="{FF2B5EF4-FFF2-40B4-BE49-F238E27FC236}">
                <a16:creationId xmlns:a16="http://schemas.microsoft.com/office/drawing/2014/main" id="{A4652119-6202-4A34-B08E-E51E2F52D1D8}"/>
              </a:ext>
            </a:extLst>
          </xdr:cNvPr>
          <xdr:cNvGrpSpPr/>
        </xdr:nvGrpSpPr>
        <xdr:grpSpPr>
          <a:xfrm>
            <a:off x="400050" y="1524000"/>
            <a:ext cx="3474983" cy="197069"/>
            <a:chOff x="394138" y="1832741"/>
            <a:chExt cx="3474983" cy="197069"/>
          </a:xfrm>
        </xdr:grpSpPr>
        <xdr:sp macro="" textlink="">
          <xdr:nvSpPr>
            <xdr:cNvPr id="21" name="TextBox 20">
              <a:extLst>
                <a:ext uri="{FF2B5EF4-FFF2-40B4-BE49-F238E27FC236}">
                  <a16:creationId xmlns:a16="http://schemas.microsoft.com/office/drawing/2014/main" id="{04C9059B-C3C1-4EEC-8195-C1690E72ADB3}"/>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2" name="TextBox 21">
              <a:extLst>
                <a:ext uri="{FF2B5EF4-FFF2-40B4-BE49-F238E27FC236}">
                  <a16:creationId xmlns:a16="http://schemas.microsoft.com/office/drawing/2014/main" id="{23AF5C46-770E-4580-89F1-FDD72C85E4F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23" name="TextBox 22">
              <a:extLst>
                <a:ext uri="{FF2B5EF4-FFF2-40B4-BE49-F238E27FC236}">
                  <a16:creationId xmlns:a16="http://schemas.microsoft.com/office/drawing/2014/main" id="{52A42F57-C3B9-4523-89A9-2076817C36C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24" name="TextBox 23">
              <a:hlinkClick xmlns:r="http://schemas.openxmlformats.org/officeDocument/2006/relationships" r:id="rId2"/>
              <a:extLst>
                <a:ext uri="{FF2B5EF4-FFF2-40B4-BE49-F238E27FC236}">
                  <a16:creationId xmlns:a16="http://schemas.microsoft.com/office/drawing/2014/main" id="{D4B458D7-1B71-453B-AA59-F51ACBC749A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456239</xdr:colOff>
      <xdr:row>101</xdr:row>
      <xdr:rowOff>142733</xdr:rowOff>
    </xdr:from>
    <xdr:to>
      <xdr:col>17</xdr:col>
      <xdr:colOff>29972</xdr:colOff>
      <xdr:row>105</xdr:row>
      <xdr:rowOff>159665</xdr:rowOff>
    </xdr:to>
    <xdr:pic>
      <xdr:nvPicPr>
        <xdr:cNvPr id="2" name="image3.png" title="Image">
          <a:extLst>
            <a:ext uri="{FF2B5EF4-FFF2-40B4-BE49-F238E27FC236}">
              <a16:creationId xmlns:a16="http://schemas.microsoft.com/office/drawing/2014/main" id="{46509F43-494A-45B7-8410-CE7C82C409D5}"/>
            </a:ext>
          </a:extLst>
        </xdr:cNvPr>
        <xdr:cNvPicPr preferRelativeResize="0"/>
      </xdr:nvPicPr>
      <xdr:blipFill>
        <a:blip xmlns:r="http://schemas.openxmlformats.org/officeDocument/2006/relationships" r:embed="rId1" cstate="print"/>
        <a:stretch>
          <a:fillRect/>
        </a:stretch>
      </xdr:blipFill>
      <xdr:spPr>
        <a:xfrm>
          <a:off x="6361739" y="20515027"/>
          <a:ext cx="7720409" cy="823756"/>
        </a:xfrm>
        <a:prstGeom prst="rect">
          <a:avLst/>
        </a:prstGeom>
        <a:noFill/>
      </xdr:spPr>
    </xdr:pic>
    <xdr:clientData fLocksWithSheet="0"/>
  </xdr:twoCellAnchor>
  <xdr:twoCellAnchor>
    <xdr:from>
      <xdr:col>2</xdr:col>
      <xdr:colOff>7763</xdr:colOff>
      <xdr:row>98</xdr:row>
      <xdr:rowOff>159523</xdr:rowOff>
    </xdr:from>
    <xdr:to>
      <xdr:col>7</xdr:col>
      <xdr:colOff>903913</xdr:colOff>
      <xdr:row>128</xdr:row>
      <xdr:rowOff>18009</xdr:rowOff>
    </xdr:to>
    <xdr:pic>
      <xdr:nvPicPr>
        <xdr:cNvPr id="3" name="image2.png" title="Image">
          <a:extLst>
            <a:ext uri="{FF2B5EF4-FFF2-40B4-BE49-F238E27FC236}">
              <a16:creationId xmlns:a16="http://schemas.microsoft.com/office/drawing/2014/main" id="{9FC7553E-D421-4196-85D0-5613BDF218EF}"/>
            </a:ext>
          </a:extLst>
        </xdr:cNvPr>
        <xdr:cNvPicPr preferRelativeResize="0"/>
      </xdr:nvPicPr>
      <xdr:blipFill>
        <a:blip xmlns:r="http://schemas.openxmlformats.org/officeDocument/2006/relationships" r:embed="rId2" cstate="print"/>
        <a:stretch>
          <a:fillRect/>
        </a:stretch>
      </xdr:blipFill>
      <xdr:spPr>
        <a:xfrm>
          <a:off x="1935175" y="19926699"/>
          <a:ext cx="3720032" cy="5909663"/>
        </a:xfrm>
        <a:prstGeom prst="rect">
          <a:avLst/>
        </a:prstGeom>
        <a:noFill/>
      </xdr:spPr>
    </xdr:pic>
    <xdr:clientData fLocksWithSheet="0"/>
  </xdr:twoCellAnchor>
  <xdr:twoCellAnchor editAs="oneCell">
    <xdr:from>
      <xdr:col>8</xdr:col>
      <xdr:colOff>469726</xdr:colOff>
      <xdr:row>106</xdr:row>
      <xdr:rowOff>156575</xdr:rowOff>
    </xdr:from>
    <xdr:to>
      <xdr:col>14</xdr:col>
      <xdr:colOff>693112</xdr:colOff>
      <xdr:row>123</xdr:row>
      <xdr:rowOff>56494</xdr:rowOff>
    </xdr:to>
    <xdr:pic>
      <xdr:nvPicPr>
        <xdr:cNvPr id="6" name="Picture 5">
          <a:extLst>
            <a:ext uri="{FF2B5EF4-FFF2-40B4-BE49-F238E27FC236}">
              <a16:creationId xmlns:a16="http://schemas.microsoft.com/office/drawing/2014/main" id="{5F96E686-99AF-47E1-B08F-AC2EC6723058}"/>
            </a:ext>
          </a:extLst>
        </xdr:cNvPr>
        <xdr:cNvPicPr>
          <a:picLocks noChangeAspect="1"/>
        </xdr:cNvPicPr>
      </xdr:nvPicPr>
      <xdr:blipFill>
        <a:blip xmlns:r="http://schemas.openxmlformats.org/officeDocument/2006/relationships" r:embed="rId3"/>
        <a:stretch>
          <a:fillRect/>
        </a:stretch>
      </xdr:blipFill>
      <xdr:spPr>
        <a:xfrm>
          <a:off x="6419589" y="20902808"/>
          <a:ext cx="6059895" cy="3227145"/>
        </a:xfrm>
        <a:prstGeom prst="rect">
          <a:avLst/>
        </a:prstGeom>
      </xdr:spPr>
    </xdr:pic>
    <xdr:clientData/>
  </xdr:twoCellAnchor>
  <xdr:twoCellAnchor editAs="oneCell">
    <xdr:from>
      <xdr:col>8</xdr:col>
      <xdr:colOff>469726</xdr:colOff>
      <xdr:row>123</xdr:row>
      <xdr:rowOff>50327</xdr:rowOff>
    </xdr:from>
    <xdr:to>
      <xdr:col>14</xdr:col>
      <xdr:colOff>693112</xdr:colOff>
      <xdr:row>137</xdr:row>
      <xdr:rowOff>144633</xdr:rowOff>
    </xdr:to>
    <xdr:pic>
      <xdr:nvPicPr>
        <xdr:cNvPr id="7" name="Picture 6">
          <a:extLst>
            <a:ext uri="{FF2B5EF4-FFF2-40B4-BE49-F238E27FC236}">
              <a16:creationId xmlns:a16="http://schemas.microsoft.com/office/drawing/2014/main" id="{D6C5DB58-EF44-47BE-A563-0F0EF8BFC0D4}"/>
            </a:ext>
          </a:extLst>
        </xdr:cNvPr>
        <xdr:cNvPicPr>
          <a:picLocks noChangeAspect="1"/>
        </xdr:cNvPicPr>
      </xdr:nvPicPr>
      <xdr:blipFill>
        <a:blip xmlns:r="http://schemas.openxmlformats.org/officeDocument/2006/relationships" r:embed="rId4"/>
        <a:stretch>
          <a:fillRect/>
        </a:stretch>
      </xdr:blipFill>
      <xdr:spPr>
        <a:xfrm>
          <a:off x="6419589" y="24123786"/>
          <a:ext cx="6059895" cy="2834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117"/>
  <sheetViews>
    <sheetView showGridLines="0" tabSelected="1" topLeftCell="B3" zoomScaleNormal="100" zoomScalePageLayoutView="70" workbookViewId="0">
      <selection activeCell="E18" sqref="E18"/>
    </sheetView>
  </sheetViews>
  <sheetFormatPr defaultColWidth="0" defaultRowHeight="15.75"/>
  <cols>
    <col min="1" max="2" width="3" style="88" customWidth="1"/>
    <col min="3" max="3" width="17.140625" style="88" customWidth="1"/>
    <col min="4" max="4" width="10.5703125" style="88" customWidth="1"/>
    <col min="5" max="5" width="24.28515625" style="88" customWidth="1"/>
    <col min="6" max="6" width="13.5703125" style="88" customWidth="1"/>
    <col min="7" max="7" width="12.140625" style="88" customWidth="1"/>
    <col min="8" max="8" width="14.140625" style="88" customWidth="1"/>
    <col min="9" max="9" width="14" style="88" customWidth="1"/>
    <col min="10" max="10" width="0.140625" style="88" customWidth="1"/>
    <col min="11" max="11" width="9.5703125" style="88" customWidth="1"/>
    <col min="12" max="13" width="4.5703125" style="88" customWidth="1"/>
    <col min="14" max="14" width="9.5703125" style="88" customWidth="1"/>
    <col min="15" max="15" width="5" style="88" customWidth="1"/>
    <col min="16" max="16" width="8" style="98" customWidth="1"/>
    <col min="17" max="17" width="12.140625" style="98" customWidth="1"/>
    <col min="18" max="18" width="4.28515625" style="184" customWidth="1"/>
    <col min="19" max="19" width="12.140625" style="98" customWidth="1"/>
    <col min="20" max="20" width="16" style="98" customWidth="1"/>
    <col min="21" max="21" width="4.28515625" style="98" customWidth="1"/>
    <col min="22" max="23" width="11.42578125" style="98" customWidth="1"/>
    <col min="24" max="24" width="18.85546875" style="98" customWidth="1"/>
    <col min="25" max="25" width="21.85546875" style="98" customWidth="1"/>
    <col min="26" max="26" width="4.85546875" style="89" customWidth="1"/>
    <col min="27" max="31" width="9.140625" style="88" hidden="1" customWidth="1"/>
    <col min="32" max="42" width="0" style="88" hidden="1" customWidth="1"/>
    <col min="43" max="16384" width="9.140625" style="88" hidden="1"/>
  </cols>
  <sheetData>
    <row r="1" spans="1:28">
      <c r="A1" s="87"/>
      <c r="R1" s="98"/>
    </row>
    <row r="2" spans="1:28">
      <c r="R2" s="98"/>
    </row>
    <row r="3" spans="1:28" ht="19.5" thickBot="1">
      <c r="G3" s="93" t="s">
        <v>95</v>
      </c>
      <c r="H3" s="93"/>
      <c r="I3" s="93"/>
      <c r="J3" s="93"/>
      <c r="K3" s="93"/>
      <c r="L3" s="93"/>
      <c r="M3" s="93"/>
      <c r="N3" s="93"/>
      <c r="O3" s="93"/>
      <c r="P3" s="109" t="s">
        <v>101</v>
      </c>
      <c r="Q3" s="110"/>
      <c r="R3" s="110"/>
      <c r="S3" s="114"/>
      <c r="T3" s="114"/>
      <c r="U3" s="114"/>
      <c r="V3" s="114"/>
      <c r="W3" s="114"/>
      <c r="X3" s="114"/>
      <c r="Y3" s="114"/>
      <c r="Z3" s="100"/>
    </row>
    <row r="4" spans="1:28" ht="18.75">
      <c r="G4" s="128" t="str">
        <f>"Based on Market Data From "&amp;TEXT(Volatilities_Resets!C4,"MM-DD-YYYY")</f>
        <v>Based on Market Data From 03-23-2023</v>
      </c>
      <c r="H4" s="93"/>
      <c r="I4" s="93"/>
      <c r="J4" s="93"/>
      <c r="K4" s="93"/>
      <c r="L4" s="93"/>
      <c r="M4" s="93"/>
      <c r="N4" s="93"/>
      <c r="O4" s="93"/>
      <c r="R4" s="98"/>
      <c r="Z4" s="100"/>
      <c r="AA4" s="121"/>
      <c r="AB4" s="121"/>
    </row>
    <row r="5" spans="1:28">
      <c r="G5" s="200" t="s">
        <v>124</v>
      </c>
      <c r="H5" s="200"/>
      <c r="I5" s="200"/>
      <c r="J5" s="200"/>
      <c r="K5" s="200"/>
      <c r="L5" s="200"/>
      <c r="M5" s="200"/>
      <c r="N5" s="200"/>
      <c r="O5" s="86"/>
      <c r="R5" s="98"/>
      <c r="S5" s="115"/>
      <c r="T5" s="115"/>
      <c r="U5" s="115"/>
      <c r="V5" s="115"/>
      <c r="W5" s="116"/>
      <c r="X5" s="116"/>
      <c r="Y5" s="116"/>
      <c r="AA5" s="121"/>
      <c r="AB5" s="121"/>
    </row>
    <row r="6" spans="1:28" ht="16.5" thickBot="1">
      <c r="G6" s="200"/>
      <c r="H6" s="200"/>
      <c r="I6" s="200"/>
      <c r="J6" s="200"/>
      <c r="K6" s="200"/>
      <c r="L6" s="200"/>
      <c r="M6" s="200"/>
      <c r="N6" s="200"/>
      <c r="P6" s="117" t="s">
        <v>106</v>
      </c>
      <c r="Q6" s="118"/>
      <c r="R6" s="98"/>
      <c r="S6" s="119" t="s">
        <v>102</v>
      </c>
      <c r="T6" s="120"/>
      <c r="U6" s="116"/>
      <c r="V6" s="119" t="s">
        <v>103</v>
      </c>
      <c r="W6" s="120"/>
      <c r="X6" s="120"/>
      <c r="Y6" s="120"/>
      <c r="AA6" s="123"/>
      <c r="AB6" s="123"/>
    </row>
    <row r="7" spans="1:28">
      <c r="D7" s="103"/>
      <c r="G7" s="200"/>
      <c r="H7" s="200"/>
      <c r="I7" s="200"/>
      <c r="J7" s="200"/>
      <c r="K7" s="200"/>
      <c r="L7" s="200"/>
      <c r="M7" s="200"/>
      <c r="N7" s="200"/>
      <c r="P7" s="116"/>
      <c r="R7" s="98"/>
      <c r="S7" s="116"/>
      <c r="T7" s="116"/>
      <c r="U7" s="116"/>
      <c r="V7" s="116"/>
      <c r="W7" s="116"/>
      <c r="X7" s="116"/>
      <c r="Y7" s="116"/>
      <c r="AA7" s="123"/>
      <c r="AB7" s="123"/>
    </row>
    <row r="8" spans="1:28">
      <c r="G8" s="200"/>
      <c r="H8" s="200"/>
      <c r="I8" s="200"/>
      <c r="J8" s="200"/>
      <c r="K8" s="200"/>
      <c r="L8" s="200"/>
      <c r="M8" s="200"/>
      <c r="N8" s="200"/>
      <c r="O8" s="86"/>
      <c r="P8" s="106" t="s">
        <v>105</v>
      </c>
      <c r="Q8" s="107" t="s">
        <v>43</v>
      </c>
      <c r="R8" s="98"/>
      <c r="S8" s="106" t="s">
        <v>44</v>
      </c>
      <c r="T8" s="106" t="s">
        <v>104</v>
      </c>
      <c r="U8" s="112"/>
      <c r="V8" s="106" t="s">
        <v>94</v>
      </c>
      <c r="W8" s="106" t="s">
        <v>77</v>
      </c>
      <c r="X8" s="106" t="s">
        <v>86</v>
      </c>
      <c r="Y8" s="106" t="s">
        <v>123</v>
      </c>
      <c r="AA8" s="124"/>
      <c r="AB8" s="124"/>
    </row>
    <row r="9" spans="1:28">
      <c r="G9" s="200"/>
      <c r="H9" s="200"/>
      <c r="I9" s="200"/>
      <c r="J9" s="200"/>
      <c r="K9" s="200"/>
      <c r="L9" s="200"/>
      <c r="M9" s="200"/>
      <c r="N9" s="200"/>
      <c r="O9" s="86"/>
      <c r="P9" s="108">
        <f ca="1">IF($Q9="","",COUNT($Q$9:$Q9))</f>
        <v>1</v>
      </c>
      <c r="Q9" s="111">
        <f ca="1">DataValidation!$I$13</f>
        <v>45008</v>
      </c>
      <c r="R9" s="98"/>
      <c r="S9" s="173">
        <f ca="1">IF(Q9="","",VLOOKUP($Q9,Calculator!$D$15:$L$98,9))+SUM(DataValidation!$I$16:$I$17)/$E$19</f>
        <v>60146.042102543346</v>
      </c>
      <c r="T9" s="113">
        <f t="shared" ref="T9:T40" ca="1" si="0">IF(Q9="","",$S9/SUM($S$9:$S$92))</f>
        <v>4.1762977063753141E-2</v>
      </c>
      <c r="U9" s="116"/>
      <c r="V9" s="113">
        <f ca="1">IF(P9="","",'Vols - Forward Curve'!P2)</f>
        <v>4.7923600000000004E-2</v>
      </c>
      <c r="W9" s="113">
        <f ca="1">IF(V9="","",IF(strikeType=DataValidation!$C$2,strike,IF(strikeType=DataValidation!$C$3,IF(ROWS($W$9:W9)&lt;=12,StepUp1,IF(ROWS($W$9:W9)&lt;=24,StepUp2,IF(ROWS($W$9:W9)&lt;=36,StepUp3,IF(ROWS($W$9:W9)&lt;=48,StepUp4,IF(ROWS($W$9:W9)&lt;=60,StepUp5,IF(ROWS($W$9:W9)&lt;=72,StepUp6,IF(ROWS($W$9:W9)&lt;=84,StepUp7,0))))))))))</f>
        <v>0.02</v>
      </c>
      <c r="X9" s="101">
        <f ca="1">IF(V9="","",IF(AND(strikeType=DataValidation!$C$2,V9&gt;strike),('Cap Pricer'!V9-strike)*notional*((Volatilities_Resets!D4-Volatilities_Resets!C4)/360),IF(AND(strikeType=DataValidation!$C$3,V9&gt;W9),(V9-W9)*notional*((Volatilities_Resets!D4-Volatilities_Resets!C4)/360),0)))</f>
        <v>60113.305555555562</v>
      </c>
      <c r="Y9" s="101">
        <f ca="1">IF(P9="","",(IF(X9&gt;0, ((VLOOKUP('Cap Pricer'!$P9,Calculator!$C$15:$T$98,18))*X9), 0)))</f>
        <v>59865.743869162026</v>
      </c>
      <c r="Z9" s="169"/>
      <c r="AA9" s="124"/>
      <c r="AB9" s="124"/>
    </row>
    <row r="10" spans="1:28">
      <c r="G10" s="200"/>
      <c r="H10" s="200"/>
      <c r="I10" s="200"/>
      <c r="J10" s="200"/>
      <c r="K10" s="200"/>
      <c r="L10" s="200"/>
      <c r="M10" s="200"/>
      <c r="N10" s="200"/>
      <c r="O10" s="86"/>
      <c r="P10" s="108">
        <f ca="1">IF($Q10="","",COUNT($Q$9:$Q10))</f>
        <v>2</v>
      </c>
      <c r="Q10" s="111">
        <f ca="1">IF($Q9="","",IF($Q9&lt;EDATE(DataValidation!$I$13,$E$19-1),EDATE($Q9,1),""))</f>
        <v>45039</v>
      </c>
      <c r="R10" s="98"/>
      <c r="S10" s="173">
        <f ca="1">IF(Q10="","",(VLOOKUP($Q10,Calculator!$D$15:$L$98,9)+SUM(DataValidation!$I$16:$I$17)/$E$19))</f>
        <v>60240.797365996899</v>
      </c>
      <c r="T10" s="113">
        <f t="shared" ca="1" si="0"/>
        <v>4.1828771283222044E-2</v>
      </c>
      <c r="U10" s="116"/>
      <c r="V10" s="113">
        <f ca="1">IF(P10="","",'Vols - Forward Curve'!P3)</f>
        <v>4.8988300000000005E-2</v>
      </c>
      <c r="W10" s="113">
        <f ca="1">IF(V10="","",IF(strikeType=DataValidation!$C$2,strike,IF(strikeType=DataValidation!$C$3,IF(ROWS($W$9:W10)&lt;=12,StepUp1,IF(ROWS($W$9:W10)&lt;=24,StepUp2,IF(ROWS($W$9:W10)&lt;=36,StepUp3,IF(ROWS($W$9:W10)&lt;=48,StepUp4,IF(ROWS($W$9:W10)&lt;=60,StepUp5,IF(ROWS($W$9:W10)&lt;=72,StepUp6,IF(ROWS($W$9:W10)&lt;=84,StepUp7,0))))))))))</f>
        <v>0.02</v>
      </c>
      <c r="X10" s="101">
        <f ca="1">IF(V10="","",IF(AND(strikeType=DataValidation!$C$2,V10&gt;strike),('Cap Pricer'!V10-strike)*notional*((Volatilities_Resets!D5-Volatilities_Resets!C5)/360),IF(AND(strikeType=DataValidation!$C$3,V10&gt;W10),(V10-W10)*notional*((Volatilities_Resets!D5-Volatilities_Resets!C5)/360),0)))</f>
        <v>60392.291666666672</v>
      </c>
      <c r="Y10" s="101">
        <f ca="1">IF(P10="","",(IF(X10&gt;0, ((VLOOKUP('Cap Pricer'!$P10,Calculator!$C$15:$T$98,18))*X10), 0)))</f>
        <v>59898.465305855781</v>
      </c>
      <c r="AA10" s="122"/>
      <c r="AB10" s="122"/>
    </row>
    <row r="11" spans="1:28" ht="16.5" thickBot="1">
      <c r="F11" s="85"/>
      <c r="G11" s="200"/>
      <c r="H11" s="200"/>
      <c r="I11" s="200"/>
      <c r="J11" s="200"/>
      <c r="K11" s="200"/>
      <c r="L11" s="200"/>
      <c r="M11" s="200"/>
      <c r="N11" s="200"/>
      <c r="O11" s="86"/>
      <c r="P11" s="108">
        <f ca="1">IF($Q11="","",COUNT($Q$9:$Q11))</f>
        <v>3</v>
      </c>
      <c r="Q11" s="111">
        <f ca="1">IF($Q10="","",IF($Q10&lt;EDATE(DataValidation!$I$13,$E$19-1),EDATE($Q10,1),""))</f>
        <v>45069</v>
      </c>
      <c r="R11" s="98"/>
      <c r="S11" s="173">
        <f ca="1">IF(Q11="","",(VLOOKUP($Q11,Calculator!$D$15:$L$98,9)+SUM(DataValidation!$I$16:$I$17)/$E$19))</f>
        <v>61787.783854282425</v>
      </c>
      <c r="T11" s="113">
        <f t="shared" ca="1" si="0"/>
        <v>4.2902936082263282E-2</v>
      </c>
      <c r="U11" s="116"/>
      <c r="V11" s="113">
        <f ca="1">IF(P11="","",'Vols - Forward Curve'!P4)</f>
        <v>4.8788600000000001E-2</v>
      </c>
      <c r="W11" s="113">
        <f ca="1">IF(V11="","",IF(strikeType=DataValidation!$C$2,strike,IF(strikeType=DataValidation!$C$3,IF(ROWS($W$9:W11)&lt;=12,StepUp1,IF(ROWS($W$9:W11)&lt;=24,StepUp2,IF(ROWS($W$9:W11)&lt;=36,StepUp3,IF(ROWS($W$9:W11)&lt;=48,StepUp4,IF(ROWS($W$9:W11)&lt;=60,StepUp5,IF(ROWS($W$9:W11)&lt;=72,StepUp6,IF(ROWS($W$9:W11)&lt;=84,StepUp7,0))))))))))</f>
        <v>0.02</v>
      </c>
      <c r="X11" s="101">
        <f ca="1">IF(V11="","",IF(AND(strikeType=DataValidation!$C$2,V11&gt;strike),('Cap Pricer'!V11-strike)*notional*((Volatilities_Resets!D6-Volatilities_Resets!C6)/360),IF(AND(strikeType=DataValidation!$C$3,V11&gt;W11),(V11-W11)*notional*((Volatilities_Resets!D6-Volatilities_Resets!C6)/360),0)))</f>
        <v>61975.458333333336</v>
      </c>
      <c r="Y11" s="101">
        <f ca="1">IF(P11="","",(IF(X11&gt;0, ((VLOOKUP('Cap Pricer'!$P11,Calculator!$C$15:$T$98,18))*X11), 0)))</f>
        <v>61211.002285965165</v>
      </c>
      <c r="Z11" s="101"/>
      <c r="AA11" s="123"/>
      <c r="AB11" s="123"/>
    </row>
    <row r="12" spans="1:28">
      <c r="C12" s="207" t="str">
        <f>IF($E$21=DataValidation!F3,"CAP COST (%)","CAP COST ($)")</f>
        <v>CAP COST ($)</v>
      </c>
      <c r="D12" s="208"/>
      <c r="E12" s="222">
        <f ca="1">IFERROR(_xlfn.IFNA(IF($E$21=DataValidation!$F$2,ROUNDUP(SUM(DataValidation!I15+DataValidation!J16+DataValidation!I17),-3),TEXT((ROUNDUP(SUM(DataValidation!I15+DataValidation!J16+DataValidation!I17),-3)/E18),"0.000%")),"ERROR"),"ERROR")</f>
        <v>1441000</v>
      </c>
      <c r="F12" s="87"/>
      <c r="G12" s="200"/>
      <c r="H12" s="200"/>
      <c r="I12" s="200"/>
      <c r="J12" s="200"/>
      <c r="K12" s="200"/>
      <c r="L12" s="200"/>
      <c r="M12" s="200"/>
      <c r="N12" s="200"/>
      <c r="O12" s="86"/>
      <c r="P12" s="108">
        <f ca="1">IF($Q12="","",COUNT($Q$9:$Q12))</f>
        <v>4</v>
      </c>
      <c r="Q12" s="111">
        <f ca="1">IF($Q11="","",IF($Q11&lt;EDATE(DataValidation!$I$13,$E$19-1),EDATE($Q11,1),""))</f>
        <v>45100</v>
      </c>
      <c r="R12" s="98"/>
      <c r="S12" s="173">
        <f ca="1">IF(Q12="","",(VLOOKUP($Q12,Calculator!$D$15:$L$98,9)+SUM(DataValidation!$I$16:$I$17)/$E$19))</f>
        <v>58578.652790337823</v>
      </c>
      <c r="T12" s="113">
        <f t="shared" ca="1" si="0"/>
        <v>4.0674645369640834E-2</v>
      </c>
      <c r="U12" s="116"/>
      <c r="V12" s="113">
        <f ca="1">IF(P12="","",'Vols - Forward Curve'!P5)</f>
        <v>4.8112300000000004E-2</v>
      </c>
      <c r="W12" s="113">
        <f ca="1">IF(V12="","",IF(strikeType=DataValidation!$C$2,strike,IF(strikeType=DataValidation!$C$3,IF(ROWS($W$9:W12)&lt;=12,StepUp1,IF(ROWS($W$9:W12)&lt;=24,StepUp2,IF(ROWS($W$9:W12)&lt;=36,StepUp3,IF(ROWS($W$9:W12)&lt;=48,StepUp4,IF(ROWS($W$9:W12)&lt;=60,StepUp5,IF(ROWS($W$9:W12)&lt;=72,StepUp6,IF(ROWS($W$9:W12)&lt;=84,StepUp7,0))))))))))</f>
        <v>0.02</v>
      </c>
      <c r="X12" s="101">
        <f ca="1">IF(V12="","",IF(AND(strikeType=DataValidation!$C$2,V12&gt;strike),('Cap Pricer'!V12-strike)*notional*((Volatilities_Resets!D7-Volatilities_Resets!C7)/360),IF(AND(strikeType=DataValidation!$C$3,V12&gt;W12),(V12-W12)*notional*((Volatilities_Resets!D7-Volatilities_Resets!C7)/360),0)))</f>
        <v>58567.291666666672</v>
      </c>
      <c r="Y12" s="101">
        <f ca="1">IF(P12="","",(IF(X12&gt;0, ((VLOOKUP('Cap Pricer'!$P12,Calculator!$C$15:$T$98,18))*X12), 0)))</f>
        <v>57613.454584211366</v>
      </c>
      <c r="Z12" s="101"/>
      <c r="AA12" s="123"/>
      <c r="AB12" s="123"/>
    </row>
    <row r="13" spans="1:28" ht="16.5" thickBot="1">
      <c r="C13" s="220"/>
      <c r="D13" s="221"/>
      <c r="E13" s="223"/>
      <c r="F13" s="180"/>
      <c r="G13" s="200"/>
      <c r="H13" s="200"/>
      <c r="I13" s="200"/>
      <c r="J13" s="200"/>
      <c r="K13" s="200"/>
      <c r="L13" s="200"/>
      <c r="M13" s="200"/>
      <c r="N13" s="200"/>
      <c r="O13" s="86"/>
      <c r="P13" s="108">
        <f ca="1">IF($Q13="","",COUNT($Q$9:$Q13))</f>
        <v>5</v>
      </c>
      <c r="Q13" s="111">
        <f ca="1">IF($Q12="","",IF($Q12&lt;EDATE(DataValidation!$I$13,$E$19-1),EDATE($Q12,1),""))</f>
        <v>45130</v>
      </c>
      <c r="R13" s="98"/>
      <c r="S13" s="173">
        <f ca="1">IF(Q13="","",(VLOOKUP($Q13,Calculator!$D$15:$L$98,9)+SUM(DataValidation!$I$16:$I$17)/$E$19))</f>
        <v>56534.806111726779</v>
      </c>
      <c r="T13" s="113">
        <f t="shared" ca="1" si="0"/>
        <v>3.9255480966185405E-2</v>
      </c>
      <c r="U13" s="116"/>
      <c r="V13" s="113">
        <f ca="1">IF(P13="","",'Vols - Forward Curve'!P6)</f>
        <v>4.5924199999999998E-2</v>
      </c>
      <c r="W13" s="113">
        <f ca="1">IF(V13="","",IF(strikeType=DataValidation!$C$2,strike,IF(strikeType=DataValidation!$C$3,IF(ROWS($W$9:W13)&lt;=12,StepUp1,IF(ROWS($W$9:W13)&lt;=24,StepUp2,IF(ROWS($W$9:W13)&lt;=36,StepUp3,IF(ROWS($W$9:W13)&lt;=48,StepUp4,IF(ROWS($W$9:W13)&lt;=60,StepUp5,IF(ROWS($W$9:W13)&lt;=72,StepUp6,IF(ROWS($W$9:W13)&lt;=84,StepUp7,0))))))))))</f>
        <v>0.02</v>
      </c>
      <c r="X13" s="101">
        <f ca="1">IF(V13="","",IF(AND(strikeType=DataValidation!$C$2,V13&gt;strike),('Cap Pricer'!V13-strike)*notional*((Volatilities_Resets!D8-Volatilities_Resets!C8)/360),IF(AND(strikeType=DataValidation!$C$3,V13&gt;W13),(V13-W13)*notional*((Volatilities_Resets!D8-Volatilities_Resets!C8)/360),0)))</f>
        <v>55809.041666666664</v>
      </c>
      <c r="Y13" s="101">
        <f ca="1">IF(P13="","",(IF(X13&gt;0, ((VLOOKUP('Cap Pricer'!$P13,Calculator!$C$15:$T$98,18))*X13), 0)))</f>
        <v>54683.293827850204</v>
      </c>
      <c r="AA13" s="123"/>
      <c r="AB13" s="123"/>
    </row>
    <row r="14" spans="1:28">
      <c r="C14" s="224" t="str">
        <f ca="1">IF($E$19&gt;84,"Max Term is 84 Months - Please Use a Shorter Term",IF(strike&lt;0.01%,"Minimum Strike is 0.01% - Please Use a Higher Strike",IF(ISERROR(DataValidation!$I$15)=TRUE,"Max Strike is 6.00% - Please Use a Lower Strike","")))</f>
        <v/>
      </c>
      <c r="D14" s="224"/>
      <c r="E14" s="224"/>
      <c r="F14" s="181"/>
      <c r="G14" s="200"/>
      <c r="H14" s="200"/>
      <c r="I14" s="200"/>
      <c r="J14" s="200"/>
      <c r="K14" s="200"/>
      <c r="L14" s="200"/>
      <c r="M14" s="200"/>
      <c r="N14" s="200"/>
      <c r="O14" s="97"/>
      <c r="P14" s="108">
        <f ca="1">IF($Q14="","",COUNT($Q$9:$Q14))</f>
        <v>6</v>
      </c>
      <c r="Q14" s="111">
        <f ca="1">IF($Q13="","",IF($Q13&lt;EDATE(DataValidation!$I$13,$E$19-1),EDATE($Q13,1),""))</f>
        <v>45161</v>
      </c>
      <c r="R14" s="98"/>
      <c r="S14" s="173">
        <f ca="1">IF(Q14="","",(VLOOKUP($Q14,Calculator!$D$15:$L$98,9)+SUM(DataValidation!$I$16:$I$17)/$E$19))</f>
        <v>56362.223636930372</v>
      </c>
      <c r="T14" s="113">
        <f t="shared" ca="1" si="0"/>
        <v>3.9135646681424989E-2</v>
      </c>
      <c r="U14" s="116"/>
      <c r="V14" s="113">
        <f ca="1">IF(P14="","",'Vols - Forward Curve'!P7)</f>
        <v>4.5594400000000007E-2</v>
      </c>
      <c r="W14" s="113">
        <f ca="1">IF(V14="","",IF(strikeType=DataValidation!$C$2,strike,IF(strikeType=DataValidation!$C$3,IF(ROWS($W$9:W14)&lt;=12,StepUp1,IF(ROWS($W$9:W14)&lt;=24,StepUp2,IF(ROWS($W$9:W14)&lt;=36,StepUp3,IF(ROWS($W$9:W14)&lt;=48,StepUp4,IF(ROWS($W$9:W14)&lt;=60,StepUp5,IF(ROWS($W$9:W14)&lt;=72,StepUp6,IF(ROWS($W$9:W14)&lt;=84,StepUp7,0))))))))))</f>
        <v>0.02</v>
      </c>
      <c r="X14" s="101">
        <f ca="1">IF(V14="","",IF(AND(strikeType=DataValidation!$C$2,V14&gt;strike),('Cap Pricer'!V14-strike)*notional*((Volatilities_Resets!D9-Volatilities_Resets!C9)/360),IF(AND(strikeType=DataValidation!$C$3,V14&gt;W14),(V14-W14)*notional*((Volatilities_Resets!D9-Volatilities_Resets!C9)/360),0)))</f>
        <v>55099.055555555562</v>
      </c>
      <c r="Y14" s="101">
        <f ca="1">IF(P14="","",(IF(X14&gt;0, ((VLOOKUP('Cap Pricer'!$P14,Calculator!$C$15:$T$98,18))*X14), 0)))</f>
        <v>53775.962159376839</v>
      </c>
      <c r="Z14" s="171"/>
      <c r="AA14" s="123"/>
      <c r="AB14" s="123"/>
    </row>
    <row r="15" spans="1:28">
      <c r="C15" s="224"/>
      <c r="D15" s="224"/>
      <c r="E15" s="224"/>
      <c r="F15" s="182"/>
      <c r="G15" s="97"/>
      <c r="H15" s="97"/>
      <c r="I15" s="97"/>
      <c r="J15" s="97"/>
      <c r="K15" s="97"/>
      <c r="L15" s="97"/>
      <c r="M15" s="97"/>
      <c r="N15" s="97"/>
      <c r="O15" s="97"/>
      <c r="P15" s="108">
        <f ca="1">IF($Q15="","",COUNT($Q$9:$Q15))</f>
        <v>7</v>
      </c>
      <c r="Q15" s="111">
        <f ca="1">IF($Q14="","",IF($Q14&lt;EDATE(DataValidation!$I$13,$E$19-1),EDATE($Q14,1),""))</f>
        <v>45192</v>
      </c>
      <c r="R15" s="98"/>
      <c r="S15" s="173">
        <f ca="1">IF(Q15="","",(VLOOKUP($Q15,Calculator!$D$15:$L$98,9)+SUM(DataValidation!$I$16:$I$17)/$E$19))</f>
        <v>53054.038199915733</v>
      </c>
      <c r="T15" s="113">
        <f t="shared" ca="1" si="0"/>
        <v>3.6838576621633937E-2</v>
      </c>
      <c r="U15" s="116"/>
      <c r="V15" s="113">
        <f ca="1">IF(P15="","",'Vols - Forward Curve'!P8)</f>
        <v>4.4545500000000002E-2</v>
      </c>
      <c r="W15" s="113">
        <f ca="1">IF(V15="","",IF(strikeType=DataValidation!$C$2,strike,IF(strikeType=DataValidation!$C$3,IF(ROWS($W$9:W15)&lt;=12,StepUp1,IF(ROWS($W$9:W15)&lt;=24,StepUp2,IF(ROWS($W$9:W15)&lt;=36,StepUp3,IF(ROWS($W$9:W15)&lt;=48,StepUp4,IF(ROWS($W$9:W15)&lt;=60,StepUp5,IF(ROWS($W$9:W15)&lt;=72,StepUp6,IF(ROWS($W$9:W15)&lt;=84,StepUp7,0))))))))))</f>
        <v>0.02</v>
      </c>
      <c r="X15" s="101">
        <f ca="1">IF(V15="","",IF(AND(strikeType=DataValidation!$C$2,V15&gt;strike),('Cap Pricer'!V15-strike)*notional*((Volatilities_Resets!D10-Volatilities_Resets!C10)/360),IF(AND(strikeType=DataValidation!$C$3,V15&gt;W15),(V15-W15)*notional*((Volatilities_Resets!D10-Volatilities_Resets!C10)/360),0)))</f>
        <v>51136.458333333328</v>
      </c>
      <c r="Y15" s="101">
        <f ca="1">IF(P15="","",(IF(X15&gt;0, ((VLOOKUP('Cap Pricer'!$P15,Calculator!$C$15:$T$98,18))*X15), 0)))</f>
        <v>49723.833097060815</v>
      </c>
      <c r="Z15" s="170"/>
      <c r="AA15" s="123"/>
      <c r="AB15" s="123"/>
    </row>
    <row r="16" spans="1:28" ht="16.5" thickBot="1">
      <c r="C16" s="94" t="s">
        <v>96</v>
      </c>
      <c r="D16" s="94"/>
      <c r="E16" s="94"/>
      <c r="F16" s="181"/>
      <c r="G16" s="94" t="s">
        <v>72</v>
      </c>
      <c r="H16" s="94"/>
      <c r="I16" s="94"/>
      <c r="J16" s="94"/>
      <c r="K16" s="94"/>
      <c r="L16" s="94"/>
      <c r="M16" s="94"/>
      <c r="N16" s="94"/>
      <c r="O16" s="97"/>
      <c r="P16" s="108">
        <f ca="1">IF($Q16="","",COUNT($Q$9:$Q16))</f>
        <v>8</v>
      </c>
      <c r="Q16" s="111">
        <f ca="1">IF($Q15="","",IF($Q15&lt;EDATE(DataValidation!$I$13,$E$19-1),EDATE($Q15,1),""))</f>
        <v>45222</v>
      </c>
      <c r="R16" s="98"/>
      <c r="S16" s="173">
        <f ca="1">IF(Q16="","",(VLOOKUP($Q16,Calculator!$D$15:$L$98,9)+SUM(DataValidation!$I$16:$I$17)/$E$19))</f>
        <v>53073.199446782215</v>
      </c>
      <c r="T16" s="113">
        <f t="shared" ca="1" si="0"/>
        <v>3.68518814158552E-2</v>
      </c>
      <c r="U16" s="116"/>
      <c r="V16" s="113">
        <f ca="1">IF(P16="","",'Vols - Forward Curve'!P9)</f>
        <v>4.3246399999999997E-2</v>
      </c>
      <c r="W16" s="113">
        <f ca="1">IF(V16="","",IF(strikeType=DataValidation!$C$2,strike,IF(strikeType=DataValidation!$C$3,IF(ROWS($W$9:W16)&lt;=12,StepUp1,IF(ROWS($W$9:W16)&lt;=24,StepUp2,IF(ROWS($W$9:W16)&lt;=36,StepUp3,IF(ROWS($W$9:W16)&lt;=48,StepUp4,IF(ROWS($W$9:W16)&lt;=60,StepUp5,IF(ROWS($W$9:W16)&lt;=72,StepUp6,IF(ROWS($W$9:W16)&lt;=84,StepUp7,0))))))))))</f>
        <v>0.02</v>
      </c>
      <c r="X16" s="101">
        <f ca="1">IF(V16="","",IF(AND(strikeType=DataValidation!$C$2,V16&gt;strike),('Cap Pricer'!V16-strike)*notional*((Volatilities_Resets!D11-Volatilities_Resets!C11)/360),IF(AND(strikeType=DataValidation!$C$3,V16&gt;W16),(V16-W16)*notional*((Volatilities_Resets!D11-Volatilities_Resets!C11)/360),0)))</f>
        <v>50044.333333333321</v>
      </c>
      <c r="Y16" s="101">
        <f ca="1">IF(P16="","",(IF(X16&gt;0, ((VLOOKUP('Cap Pricer'!$P16,Calculator!$C$15:$T$98,18))*X16), 0)))</f>
        <v>48480.802139107589</v>
      </c>
      <c r="Z16" s="170"/>
      <c r="AA16" s="123"/>
      <c r="AB16" s="123"/>
    </row>
    <row r="17" spans="1:28" ht="16.5" thickBot="1">
      <c r="C17" s="85"/>
      <c r="D17" s="85"/>
      <c r="E17" s="85"/>
      <c r="F17" s="181"/>
      <c r="P17" s="108">
        <f ca="1">IF($Q17="","",COUNT($Q$9:$Q17))</f>
        <v>9</v>
      </c>
      <c r="Q17" s="111">
        <f ca="1">IF($Q16="","",IF($Q16&lt;EDATE(DataValidation!$I$13,$E$19-1),EDATE($Q16,1),""))</f>
        <v>45253</v>
      </c>
      <c r="R17" s="98"/>
      <c r="S17" s="173">
        <f ca="1">IF(Q17="","",(VLOOKUP($Q17,Calculator!$D$15:$L$98,9)+SUM(DataValidation!$I$16:$I$17)/$E$19))</f>
        <v>50797.345257349742</v>
      </c>
      <c r="T17" s="113">
        <f t="shared" ca="1" si="0"/>
        <v>3.5271620388011175E-2</v>
      </c>
      <c r="U17" s="116"/>
      <c r="V17" s="113">
        <f ca="1">IF(P17="","",'Vols - Forward Curve'!P10)</f>
        <v>4.2565900000000004E-2</v>
      </c>
      <c r="W17" s="113">
        <f ca="1">IF(V17="","",IF(strikeType=DataValidation!$C$2,strike,IF(strikeType=DataValidation!$C$3,IF(ROWS($W$9:W17)&lt;=12,StepUp1,IF(ROWS($W$9:W17)&lt;=24,StepUp2,IF(ROWS($W$9:W17)&lt;=36,StepUp3,IF(ROWS($W$9:W17)&lt;=48,StepUp4,IF(ROWS($W$9:W17)&lt;=60,StepUp5,IF(ROWS($W$9:W17)&lt;=72,StepUp6,IF(ROWS($W$9:W17)&lt;=84,StepUp7,0))))))))))</f>
        <v>0.02</v>
      </c>
      <c r="X17" s="101">
        <f ca="1">IF(V17="","",IF(AND(strikeType=DataValidation!$C$2,V17&gt;strike),('Cap Pricer'!V17-strike)*notional*((Volatilities_Resets!D12-Volatilities_Resets!C12)/360),IF(AND(strikeType=DataValidation!$C$3,V17&gt;W17),(V17-W17)*notional*((Volatilities_Resets!D12-Volatilities_Resets!C12)/360),0)))</f>
        <v>47012.291666666672</v>
      </c>
      <c r="Y17" s="101">
        <f ca="1">IF(P17="","",(IF(X17&gt;0, ((VLOOKUP('Cap Pricer'!$P17,Calculator!$C$15:$T$98,18))*X17), 0)))</f>
        <v>45382.511881728678</v>
      </c>
      <c r="AA17" s="121"/>
      <c r="AB17" s="121"/>
    </row>
    <row r="18" spans="1:28">
      <c r="C18" s="89" t="s">
        <v>9</v>
      </c>
      <c r="D18" s="89"/>
      <c r="E18" s="185">
        <v>25000000</v>
      </c>
      <c r="F18" s="182"/>
      <c r="G18" s="125" t="s">
        <v>47</v>
      </c>
      <c r="H18" s="192" t="s">
        <v>59</v>
      </c>
      <c r="I18" s="205" t="s">
        <v>54</v>
      </c>
      <c r="J18" s="205"/>
      <c r="K18" s="205" t="s">
        <v>55</v>
      </c>
      <c r="L18" s="205"/>
      <c r="M18" s="205" t="s">
        <v>60</v>
      </c>
      <c r="N18" s="206"/>
      <c r="P18" s="108">
        <f ca="1">IF($Q18="","",COUNT($Q$9:$Q18))</f>
        <v>10</v>
      </c>
      <c r="Q18" s="111">
        <f ca="1">IF($Q17="","",IF($Q17&lt;EDATE(DataValidation!$I$13,$E$19-1),EDATE($Q17,1),""))</f>
        <v>45283</v>
      </c>
      <c r="R18" s="98"/>
      <c r="S18" s="173">
        <f ca="1">IF(Q18="","",(VLOOKUP($Q18,Calculator!$D$15:$L$98,9)+SUM(DataValidation!$I$16:$I$17)/$E$19))</f>
        <v>51320.510748050445</v>
      </c>
      <c r="T18" s="113">
        <f t="shared" ca="1" si="0"/>
        <v>3.5634885328228359E-2</v>
      </c>
      <c r="U18" s="116"/>
      <c r="V18" s="113">
        <f ca="1">IF(P18="","",'Vols - Forward Curve'!P11)</f>
        <v>4.1450800000000003E-2</v>
      </c>
      <c r="W18" s="113">
        <f ca="1">IF(V18="","",IF(strikeType=DataValidation!$C$2,strike,IF(strikeType=DataValidation!$C$3,IF(ROWS($W$9:W18)&lt;=12,StepUp1,IF(ROWS($W$9:W18)&lt;=24,StepUp2,IF(ROWS($W$9:W18)&lt;=36,StepUp3,IF(ROWS($W$9:W18)&lt;=48,StepUp4,IF(ROWS($W$9:W18)&lt;=60,StepUp5,IF(ROWS($W$9:W18)&lt;=72,StepUp6,IF(ROWS($W$9:W18)&lt;=84,StepUp7,0))))))))))</f>
        <v>0.02</v>
      </c>
      <c r="X18" s="101">
        <f ca="1">IF(V18="","",IF(AND(strikeType=DataValidation!$C$2,V18&gt;strike),('Cap Pricer'!V18-strike)*notional*((Volatilities_Resets!D13-Volatilities_Resets!C13)/360),IF(AND(strikeType=DataValidation!$C$3,V18&gt;W18),(V18-W18)*notional*((Volatilities_Resets!D13-Volatilities_Resets!C13)/360),0)))</f>
        <v>46178.805555555562</v>
      </c>
      <c r="Y18" s="101">
        <f ca="1">IF(P18="","",(IF(X18&gt;0, ((VLOOKUP('Cap Pricer'!$P18,Calculator!$C$15:$T$98,18))*X18), 0)))</f>
        <v>44418.8548739459</v>
      </c>
      <c r="AA18" s="121"/>
      <c r="AB18" s="121"/>
    </row>
    <row r="19" spans="1:28">
      <c r="C19" s="89" t="s">
        <v>46</v>
      </c>
      <c r="D19" s="89"/>
      <c r="E19" s="186">
        <v>36</v>
      </c>
      <c r="F19" s="181"/>
      <c r="G19" s="188">
        <v>0.03</v>
      </c>
      <c r="H19" s="190">
        <f ca="1">IF($E$21=DataValidation!$F$2,ROUNDUP(SUM(DataValidation!M15,DataValidation!S22,DataValidation!S29),-3),TEXT((ROUNDUP(SUM(DataValidation!M15,DataValidation!S22,DataValidation!S29),-3)/$E$18),"0.000%"))</f>
        <v>442000</v>
      </c>
      <c r="I19" s="203">
        <f ca="1">IF($E$21=DataValidation!$F$2,ROUNDUP(SUM(DataValidation!N15,DataValidation!T22,DataValidation!T29),-3),TEXT((ROUNDUP(SUM(DataValidation!N15,DataValidation!T22,DataValidation!T29),-3)/$E$18),"0.000%"))</f>
        <v>717000</v>
      </c>
      <c r="J19" s="203"/>
      <c r="K19" s="203">
        <f ca="1">IF($E$21=DataValidation!$F$2,ROUNDUP(SUM(DataValidation!O15,DataValidation!U22,DataValidation!U29),-3),TEXT((ROUNDUP(SUM(DataValidation!O15,DataValidation!U22,DataValidation!U29),-3)/$E$18),"0.000%"))</f>
        <v>961000</v>
      </c>
      <c r="L19" s="203"/>
      <c r="M19" s="203">
        <f ca="1">IF($E$21=DataValidation!$F$2,ROUNDUP(SUM(DataValidation!P15,DataValidation!V22,DataValidation!V29),-3),TEXT((ROUNDUP(SUM(DataValidation!P15,DataValidation!V22,DataValidation!V29),-3)/$E$18),"0.000%"))</f>
        <v>1182000</v>
      </c>
      <c r="N19" s="204"/>
      <c r="P19" s="108">
        <f ca="1">IF($Q19="","",COUNT($Q$9:$Q19))</f>
        <v>11</v>
      </c>
      <c r="Q19" s="111">
        <f ca="1">IF($Q18="","",IF($Q18&lt;EDATE(DataValidation!$I$13,$E$19-1),EDATE($Q18,1),""))</f>
        <v>45314</v>
      </c>
      <c r="R19" s="98"/>
      <c r="S19" s="173">
        <f ca="1">IF(Q19="","",(VLOOKUP($Q19,Calculator!$D$15:$L$98,9)+SUM(DataValidation!$I$16:$I$17)/$E$19))</f>
        <v>47869.69491304805</v>
      </c>
      <c r="T19" s="113">
        <f t="shared" ca="1" si="0"/>
        <v>3.3238778493422237E-2</v>
      </c>
      <c r="U19" s="116"/>
      <c r="V19" s="113">
        <f ca="1">IF(P19="","",'Vols - Forward Curve'!P12)</f>
        <v>3.9833300000000002E-2</v>
      </c>
      <c r="W19" s="113">
        <f ca="1">IF(V19="","",IF(strikeType=DataValidation!$C$2,strike,IF(strikeType=DataValidation!$C$3,IF(ROWS($W$9:W19)&lt;=12,StepUp1,IF(ROWS($W$9:W19)&lt;=24,StepUp2,IF(ROWS($W$9:W19)&lt;=36,StepUp3,IF(ROWS($W$9:W19)&lt;=48,StepUp4,IF(ROWS($W$9:W19)&lt;=60,StepUp5,IF(ROWS($W$9:W19)&lt;=72,StepUp6,IF(ROWS($W$9:W19)&lt;=84,StepUp7,0))))))))))</f>
        <v>0.02</v>
      </c>
      <c r="X19" s="101">
        <f ca="1">IF(V19="","",IF(AND(strikeType=DataValidation!$C$2,V19&gt;strike),('Cap Pricer'!V19-strike)*notional*((Volatilities_Resets!D14-Volatilities_Resets!C14)/360),IF(AND(strikeType=DataValidation!$C$3,V19&gt;W19),(V19-W19)*notional*((Volatilities_Resets!D14-Volatilities_Resets!C14)/360),0)))</f>
        <v>42696.687500000007</v>
      </c>
      <c r="Y19" s="101">
        <f ca="1">IF(P19="","",(IF(X19&gt;0, ((VLOOKUP('Cap Pricer'!$P19,Calculator!$C$15:$T$98,18))*X19), 0)))</f>
        <v>40928.57241864469</v>
      </c>
      <c r="AA19" s="121"/>
      <c r="AB19" s="121"/>
    </row>
    <row r="20" spans="1:28">
      <c r="B20" s="183"/>
      <c r="C20" s="92" t="s">
        <v>97</v>
      </c>
      <c r="D20" s="92"/>
      <c r="E20" s="179" t="s">
        <v>125</v>
      </c>
      <c r="F20" s="181"/>
      <c r="G20" s="188">
        <v>0.04</v>
      </c>
      <c r="H20" s="190">
        <f ca="1">IF($E$21=DataValidation!$F$2,ROUNDUP(SUM(DataValidation!M16,DataValidation!S23,DataValidation!S30),-3),TEXT((ROUNDUP(SUM(DataValidation!M16,DataValidation!S23,DataValidation!S30),-3)/$E$18),"0.000%"))</f>
        <v>246000</v>
      </c>
      <c r="I20" s="203">
        <f ca="1">IF($E$21=DataValidation!$F$2,ROUNDUP(SUM(DataValidation!N16,DataValidation!T23,DataValidation!T30),-3),TEXT((ROUNDUP(SUM(DataValidation!N16,DataValidation!T23,DataValidation!T30),-3)/$E$18),"0.000%"))</f>
        <v>408000</v>
      </c>
      <c r="J20" s="203"/>
      <c r="K20" s="203">
        <f ca="1">IF($E$21=DataValidation!$F$2,ROUNDUP(SUM(DataValidation!O16,DataValidation!U23,DataValidation!U30),-3),TEXT((ROUNDUP(SUM(DataValidation!O16,DataValidation!U23,DataValidation!U30),-3)/$E$18),"0.000%"))</f>
        <v>567000</v>
      </c>
      <c r="L20" s="203"/>
      <c r="M20" s="203">
        <f ca="1">IF($E$21=DataValidation!$F$2,ROUNDUP(SUM(DataValidation!P16,DataValidation!V23,DataValidation!V30),-3),TEXT((ROUNDUP(SUM(DataValidation!P16,DataValidation!V23,DataValidation!V30),-3)/$E$18),"0.000%"))</f>
        <v>709000</v>
      </c>
      <c r="N20" s="204"/>
      <c r="P20" s="108">
        <f ca="1">IF($Q20="","",COUNT($Q$9:$Q20))</f>
        <v>12</v>
      </c>
      <c r="Q20" s="111">
        <f ca="1">IF($Q19="","",IF($Q19&lt;EDATE(DataValidation!$I$13,$E$19-1),EDATE($Q19,1),""))</f>
        <v>45345</v>
      </c>
      <c r="R20" s="98"/>
      <c r="S20" s="173">
        <f ca="1">IF(Q20="","",(VLOOKUP($Q20,Calculator!$D$15:$L$98,9)+SUM(DataValidation!$I$16:$I$17)/$E$19))</f>
        <v>42665.925262297649</v>
      </c>
      <c r="T20" s="113">
        <f t="shared" ca="1" si="0"/>
        <v>2.9625491484464517E-2</v>
      </c>
      <c r="U20" s="116"/>
      <c r="V20" s="113">
        <f ca="1">IF(P20="","",'Vols - Forward Curve'!P13)</f>
        <v>3.9172400000000003E-2</v>
      </c>
      <c r="W20" s="113">
        <f ca="1">IF(V20="","",IF(strikeType=DataValidation!$C$2,strike,IF(strikeType=DataValidation!$C$3,IF(ROWS($W$9:W20)&lt;=12,StepUp1,IF(ROWS($W$9:W20)&lt;=24,StepUp2,IF(ROWS($W$9:W20)&lt;=36,StepUp3,IF(ROWS($W$9:W20)&lt;=48,StepUp4,IF(ROWS($W$9:W20)&lt;=60,StepUp5,IF(ROWS($W$9:W20)&lt;=72,StepUp6,IF(ROWS($W$9:W20)&lt;=84,StepUp7,0))))))))))</f>
        <v>0.02</v>
      </c>
      <c r="X20" s="101">
        <f ca="1">IF(V20="","",IF(AND(strikeType=DataValidation!$C$2,V20&gt;strike),('Cap Pricer'!V20-strike)*notional*((Volatilities_Resets!D15-Volatilities_Resets!C15)/360),IF(AND(strikeType=DataValidation!$C$3,V20&gt;W20),(V20-W20)*notional*((Volatilities_Resets!D15-Volatilities_Resets!C15)/360),0)))</f>
        <v>38611.083333333343</v>
      </c>
      <c r="Y20" s="101">
        <f ca="1">IF(P20="","",(IF(X20&gt;0, ((VLOOKUP('Cap Pricer'!$P20,Calculator!$C$15:$T$98,18))*X20), 0)))</f>
        <v>36896.471128709738</v>
      </c>
      <c r="AA20" s="121"/>
      <c r="AB20" s="121"/>
    </row>
    <row r="21" spans="1:28">
      <c r="C21" s="89" t="s">
        <v>98</v>
      </c>
      <c r="E21" s="187" t="s">
        <v>70</v>
      </c>
      <c r="F21" s="90"/>
      <c r="G21" s="188">
        <v>0.05</v>
      </c>
      <c r="H21" s="190">
        <f ca="1">IF($E$21=DataValidation!$F$2,ROUNDUP(SUM(DataValidation!M17,DataValidation!S24,DataValidation!S31),-3),TEXT((ROUNDUP(SUM(DataValidation!M17,DataValidation!S24,DataValidation!S31),-3)/$E$18),"0.000%"))</f>
        <v>103000</v>
      </c>
      <c r="I21" s="203">
        <f ca="1">IF($E$21=DataValidation!$F$2,ROUNDUP(SUM(DataValidation!N17,DataValidation!T24,DataValidation!T31),-3),TEXT((ROUNDUP(SUM(DataValidation!N17,DataValidation!T24,DataValidation!T31),-3)/$E$18),"0.000%"))</f>
        <v>188000</v>
      </c>
      <c r="J21" s="203"/>
      <c r="K21" s="203">
        <f ca="1">IF($E$21=DataValidation!$F$2,ROUNDUP(SUM(DataValidation!O17,DataValidation!U24,DataValidation!U31),-3),TEXT((ROUNDUP(SUM(DataValidation!O17,DataValidation!U24,DataValidation!U31),-3)/$E$18),"0.000%"))</f>
        <v>290000</v>
      </c>
      <c r="L21" s="203"/>
      <c r="M21" s="203">
        <f ca="1">IF($E$21=DataValidation!$F$2,ROUNDUP(SUM(DataValidation!P17,DataValidation!V24,DataValidation!V31),-3),TEXT((ROUNDUP(SUM(DataValidation!P17,DataValidation!V24,DataValidation!V31),-3)/$E$18),"0.000%"))</f>
        <v>396000</v>
      </c>
      <c r="N21" s="204"/>
      <c r="P21" s="108">
        <f ca="1">IF($Q21="","",COUNT($Q$9:$Q21))</f>
        <v>13</v>
      </c>
      <c r="Q21" s="111">
        <f ca="1">IF($Q20="","",IF($Q20&lt;EDATE(DataValidation!$I$13,$E$19-1),EDATE($Q20,1),""))</f>
        <v>45374</v>
      </c>
      <c r="R21" s="98"/>
      <c r="S21" s="173">
        <f ca="1">IF(Q21="","",(VLOOKUP($Q21,Calculator!$D$15:$L$98,9)+SUM(DataValidation!$I$16:$I$17)/$E$19))</f>
        <v>36862.181508354188</v>
      </c>
      <c r="T21" s="113">
        <f t="shared" ca="1" si="0"/>
        <v>2.5595606743809375E-2</v>
      </c>
      <c r="U21" s="116"/>
      <c r="V21" s="113">
        <f ca="1">IF(P21="","",'Vols - Forward Curve'!P14)</f>
        <v>3.4337300000000001E-2</v>
      </c>
      <c r="W21" s="113">
        <f ca="1">IF(V21="","",IF(strikeType=DataValidation!$C$2,strike,IF(strikeType=DataValidation!$C$3,IF(ROWS($W$9:W21)&lt;=12,StepUp1,IF(ROWS($W$9:W21)&lt;=24,StepUp2,IF(ROWS($W$9:W21)&lt;=36,StepUp3,IF(ROWS($W$9:W21)&lt;=48,StepUp4,IF(ROWS($W$9:W21)&lt;=60,StepUp5,IF(ROWS($W$9:W21)&lt;=72,StepUp6,IF(ROWS($W$9:W21)&lt;=84,StepUp7,0))))))))))</f>
        <v>0.02</v>
      </c>
      <c r="X21" s="101">
        <f ca="1">IF(V21="","",IF(AND(strikeType=DataValidation!$C$2,V21&gt;strike),('Cap Pricer'!V21-strike)*notional*((Volatilities_Resets!D16-Volatilities_Resets!C16)/360),IF(AND(strikeType=DataValidation!$C$3,V21&gt;W21),(V21-W21)*notional*((Volatilities_Resets!D16-Volatilities_Resets!C16)/360),0)))</f>
        <v>30865.020833333332</v>
      </c>
      <c r="Y21" s="101">
        <f ca="1">IF(P21="","",(IF(X21&gt;0, ((VLOOKUP('Cap Pricer'!$P21,Calculator!$C$15:$T$98,18))*X21), 0)))</f>
        <v>29406.919220465901</v>
      </c>
      <c r="AA21" s="121"/>
      <c r="AB21" s="121"/>
    </row>
    <row r="22" spans="1:28" ht="16.5" thickBot="1">
      <c r="C22" s="89" t="s">
        <v>48</v>
      </c>
      <c r="D22" s="89"/>
      <c r="E22" s="186" t="s">
        <v>50</v>
      </c>
      <c r="F22" s="91"/>
      <c r="G22" s="189">
        <v>0.06</v>
      </c>
      <c r="H22" s="191">
        <f ca="1">IF($E$21=DataValidation!$F$2,ROUNDUP(SUM(DataValidation!M18,DataValidation!S25,DataValidation!S32),-3),TEXT((ROUNDUP(SUM(DataValidation!M18,DataValidation!S25,DataValidation!S32),-3)/$E$18),"0.000%"))</f>
        <v>37000</v>
      </c>
      <c r="I22" s="201">
        <f ca="1">IF($E$21=DataValidation!$F$2,ROUNDUP(SUM(DataValidation!N18,DataValidation!T25,DataValidation!T32),-3),TEXT((ROUNDUP(SUM(DataValidation!N18,DataValidation!T25,DataValidation!T32),-3)/$E$18),"0.000%"))</f>
        <v>84000</v>
      </c>
      <c r="J22" s="201"/>
      <c r="K22" s="201">
        <f ca="1">IF($E$21=DataValidation!$F$2,ROUNDUP(SUM(DataValidation!O18,DataValidation!U25,DataValidation!U32),-3),TEXT((ROUNDUP(SUM(DataValidation!O18,DataValidation!U25,DataValidation!U32),-3)/$E$18),"0.000%"))</f>
        <v>144000</v>
      </c>
      <c r="L22" s="201"/>
      <c r="M22" s="201">
        <f ca="1">IF($E$21=DataValidation!$F$2,ROUNDUP(SUM(DataValidation!P18,DataValidation!V25,DataValidation!V32),-3),TEXT((ROUNDUP(SUM(DataValidation!P18,DataValidation!V25,DataValidation!V32),-3)/$E$18),"0.000%"))</f>
        <v>221000</v>
      </c>
      <c r="N22" s="202"/>
      <c r="P22" s="108">
        <f ca="1">IF($Q22="","",COUNT($Q$9:$Q22))</f>
        <v>14</v>
      </c>
      <c r="Q22" s="111">
        <f ca="1">IF($Q21="","",IF($Q21&lt;EDATE(DataValidation!$I$13,$E$19-1),EDATE($Q21,1),""))</f>
        <v>45405</v>
      </c>
      <c r="R22" s="98"/>
      <c r="S22" s="173">
        <f ca="1">IF(Q22="","",(VLOOKUP($Q22,Calculator!$D$15:$L$98,9)+SUM(DataValidation!$I$16:$I$17)/$E$19))</f>
        <v>35920.575513588075</v>
      </c>
      <c r="T22" s="113">
        <f t="shared" ca="1" si="0"/>
        <v>2.4941793655070044E-2</v>
      </c>
      <c r="U22" s="116"/>
      <c r="V22" s="113">
        <f ca="1">IF(P22="","",'Vols - Forward Curve'!P15)</f>
        <v>3.4337300000000001E-2</v>
      </c>
      <c r="W22" s="113">
        <f ca="1">IF(V22="","",IF(strikeType=DataValidation!$C$2,strike,IF(strikeType=DataValidation!$C$3,IF(ROWS($W$9:W22)&lt;=12,StepUp1,IF(ROWS($W$9:W22)&lt;=24,StepUp2,IF(ROWS($W$9:W22)&lt;=36,StepUp3,IF(ROWS($W$9:W22)&lt;=48,StepUp4,IF(ROWS($W$9:W22)&lt;=60,StepUp5,IF(ROWS($W$9:W22)&lt;=72,StepUp6,IF(ROWS($W$9:W22)&lt;=84,StepUp7,0))))))))))</f>
        <v>0.02</v>
      </c>
      <c r="X22" s="101">
        <f ca="1">IF(V22="","",IF(AND(strikeType=DataValidation!$C$2,V22&gt;strike),('Cap Pricer'!V22-strike)*notional*((Volatilities_Resets!D17-Volatilities_Resets!C17)/360),IF(AND(strikeType=DataValidation!$C$3,V22&gt;W22),(V22-W22)*notional*((Volatilities_Resets!D17-Volatilities_Resets!C17)/360),0)))</f>
        <v>29869.375</v>
      </c>
      <c r="Y22" s="101">
        <f ca="1">IF(P22="","",(IF(X22&gt;0, ((VLOOKUP('Cap Pricer'!$P22,Calculator!$C$15:$T$98,18))*X22), 0)))</f>
        <v>28377.369761666771</v>
      </c>
    </row>
    <row r="23" spans="1:28">
      <c r="C23" s="89" t="s">
        <v>49</v>
      </c>
      <c r="D23" s="89"/>
      <c r="E23" s="193">
        <v>0.02</v>
      </c>
      <c r="F23" s="91"/>
      <c r="P23" s="108">
        <f ca="1">IF($Q23="","",COUNT($Q$9:$Q23))</f>
        <v>15</v>
      </c>
      <c r="Q23" s="111">
        <f ca="1">IF($Q22="","",IF($Q22&lt;EDATE(DataValidation!$I$13,$E$19-1),EDATE($Q22,1),""))</f>
        <v>45435</v>
      </c>
      <c r="R23" s="98"/>
      <c r="S23" s="173">
        <f ca="1">IF(Q23="","",(VLOOKUP($Q23,Calculator!$D$15:$L$98,9)+SUM(DataValidation!$I$16:$I$17)/$E$19))</f>
        <v>37490.267070219139</v>
      </c>
      <c r="T23" s="113">
        <f t="shared" ca="1" si="0"/>
        <v>2.6031723934521932E-2</v>
      </c>
      <c r="U23" s="116"/>
      <c r="V23" s="113">
        <f ca="1">IF(P23="","",'Vols - Forward Curve'!P16)</f>
        <v>3.4333999999999996E-2</v>
      </c>
      <c r="W23" s="113">
        <f ca="1">IF(V23="","",IF(strikeType=DataValidation!$C$2,strike,IF(strikeType=DataValidation!$C$3,IF(ROWS($W$9:W23)&lt;=12,StepUp1,IF(ROWS($W$9:W23)&lt;=24,StepUp2,IF(ROWS($W$9:W23)&lt;=36,StepUp3,IF(ROWS($W$9:W23)&lt;=48,StepUp4,IF(ROWS($W$9:W23)&lt;=60,StepUp5,IF(ROWS($W$9:W23)&lt;=72,StepUp6,IF(ROWS($W$9:W23)&lt;=84,StepUp7,0))))))))))</f>
        <v>0.02</v>
      </c>
      <c r="X23" s="101">
        <f ca="1">IF(V23="","",IF(AND(strikeType=DataValidation!$C$2,V23&gt;strike),('Cap Pricer'!V23-strike)*notional*((Volatilities_Resets!D18-Volatilities_Resets!C18)/360),IF(AND(strikeType=DataValidation!$C$3,V23&gt;W23),(V23-W23)*notional*((Volatilities_Resets!D18-Volatilities_Resets!C18)/360),0)))</f>
        <v>30857.916666666657</v>
      </c>
      <c r="Y23" s="101">
        <f ca="1">IF(P23="","",(IF(X23&gt;0, ((VLOOKUP('Cap Pricer'!$P23,Calculator!$C$15:$T$98,18))*X23), 0)))</f>
        <v>29229.649322754161</v>
      </c>
    </row>
    <row r="24" spans="1:28" ht="16.5" thickBot="1">
      <c r="C24" s="95" t="s">
        <v>52</v>
      </c>
      <c r="D24" s="96"/>
      <c r="E24" s="95" t="s">
        <v>47</v>
      </c>
      <c r="F24" s="90"/>
      <c r="G24" s="94" t="s">
        <v>99</v>
      </c>
      <c r="H24" s="94"/>
      <c r="I24" s="94"/>
      <c r="J24" s="94"/>
      <c r="K24" s="94"/>
      <c r="L24" s="94"/>
      <c r="M24" s="94"/>
      <c r="N24" s="94"/>
      <c r="P24" s="108">
        <f ca="1">IF($Q24="","",COUNT($Q$9:$Q24))</f>
        <v>16</v>
      </c>
      <c r="Q24" s="111">
        <f ca="1">IF($Q23="","",IF($Q23&lt;EDATE(DataValidation!$I$13,$E$19-1),EDATE($Q23,1),""))</f>
        <v>45466</v>
      </c>
      <c r="R24" s="98"/>
      <c r="S24" s="173">
        <f ca="1">IF(Q24="","",(VLOOKUP($Q24,Calculator!$D$15:$L$98,9)+SUM(DataValidation!$I$16:$I$17)/$E$19))</f>
        <v>36797.54731904326</v>
      </c>
      <c r="T24" s="113">
        <f t="shared" ca="1" si="0"/>
        <v>2.5550727378993904E-2</v>
      </c>
      <c r="U24" s="116"/>
      <c r="V24" s="113">
        <f ca="1">IF(P24="","",'Vols - Forward Curve'!P17)</f>
        <v>3.4332399999999999E-2</v>
      </c>
      <c r="W24" s="113">
        <f ca="1">IF(V24="","",IF(strikeType=DataValidation!$C$2,strike,IF(strikeType=DataValidation!$C$3,IF(ROWS($W$9:W24)&lt;=12,StepUp1,IF(ROWS($W$9:W24)&lt;=24,StepUp2,IF(ROWS($W$9:W24)&lt;=36,StepUp3,IF(ROWS($W$9:W24)&lt;=48,StepUp4,IF(ROWS($W$9:W24)&lt;=60,StepUp5,IF(ROWS($W$9:W24)&lt;=72,StepUp6,IF(ROWS($W$9:W24)&lt;=84,StepUp7,0))))))))))</f>
        <v>0.02</v>
      </c>
      <c r="X24" s="101">
        <f ca="1">IF(V24="","",IF(AND(strikeType=DataValidation!$C$2,V24&gt;strike),('Cap Pricer'!V24-strike)*notional*((Volatilities_Resets!D19-Volatilities_Resets!C19)/360),IF(AND(strikeType=DataValidation!$C$3,V24&gt;W24),(V24-W24)*notional*((Volatilities_Resets!D19-Volatilities_Resets!C19)/360),0)))</f>
        <v>29859.166666666661</v>
      </c>
      <c r="Y24" s="101">
        <f ca="1">IF(P24="","",(IF(X24&gt;0, ((VLOOKUP('Cap Pricer'!$P24,Calculator!$C$15:$T$98,18))*X24), 0)))</f>
        <v>28203.119540947409</v>
      </c>
    </row>
    <row r="25" spans="1:28" ht="16.5" thickBot="1">
      <c r="C25" s="116">
        <v>1</v>
      </c>
      <c r="D25" s="89"/>
      <c r="E25" s="194"/>
      <c r="F25" s="90"/>
      <c r="P25" s="108">
        <f ca="1">IF($Q25="","",COUNT($Q$9:$Q25))</f>
        <v>17</v>
      </c>
      <c r="Q25" s="111">
        <f ca="1">IF($Q24="","",IF($Q24&lt;EDATE(DataValidation!$I$13,$E$19-1),EDATE($Q24,1),""))</f>
        <v>45496</v>
      </c>
      <c r="R25" s="98"/>
      <c r="S25" s="173">
        <f ca="1">IF(Q25="","",(VLOOKUP($Q25,Calculator!$D$15:$L$98,9)+SUM(DataValidation!$I$16:$I$17)/$E$19))</f>
        <v>38360.979390343797</v>
      </c>
      <c r="T25" s="113">
        <f t="shared" ca="1" si="0"/>
        <v>2.6636311325201719E-2</v>
      </c>
      <c r="U25" s="116"/>
      <c r="V25" s="113">
        <f ca="1">IF(P25="","",'Vols - Forward Curve'!P18)</f>
        <v>3.4335600000000001E-2</v>
      </c>
      <c r="W25" s="113">
        <f ca="1">IF(V25="","",IF(strikeType=DataValidation!$C$2,strike,IF(strikeType=DataValidation!$C$3,IF(ROWS($W$9:W25)&lt;=12,StepUp1,IF(ROWS($W$9:W25)&lt;=24,StepUp2,IF(ROWS($W$9:W25)&lt;=36,StepUp3,IF(ROWS($W$9:W25)&lt;=48,StepUp4,IF(ROWS($W$9:W25)&lt;=60,StepUp5,IF(ROWS($W$9:W25)&lt;=72,StepUp6,IF(ROWS($W$9:W25)&lt;=84,StepUp7,0))))))))))</f>
        <v>0.02</v>
      </c>
      <c r="X25" s="101">
        <f ca="1">IF(V25="","",IF(AND(strikeType=DataValidation!$C$2,V25&gt;strike),('Cap Pricer'!V25-strike)*notional*((Volatilities_Resets!D20-Volatilities_Resets!C20)/360),IF(AND(strikeType=DataValidation!$C$3,V25&gt;W25),(V25-W25)*notional*((Volatilities_Resets!D20-Volatilities_Resets!C20)/360),0)))</f>
        <v>30861.361111111109</v>
      </c>
      <c r="Y25" s="101">
        <f ca="1">IF(P25="","",(IF(X25&gt;0, ((VLOOKUP('Cap Pricer'!$P25,Calculator!$C$15:$T$98,18))*X25), 0)))</f>
        <v>29063.376590517353</v>
      </c>
    </row>
    <row r="26" spans="1:28">
      <c r="C26" s="116">
        <v>2</v>
      </c>
      <c r="D26" s="89"/>
      <c r="E26" s="194"/>
      <c r="G26" s="89" t="s">
        <v>87</v>
      </c>
      <c r="L26" s="207" t="s">
        <v>126</v>
      </c>
      <c r="M26" s="208"/>
      <c r="N26" s="209"/>
      <c r="P26" s="108">
        <f ca="1">IF($Q26="","",COUNT($Q$9:$Q26))</f>
        <v>18</v>
      </c>
      <c r="Q26" s="111">
        <f ca="1">IF($Q25="","",IF($Q25&lt;EDATE(DataValidation!$I$13,$E$19-1),EDATE($Q25,1),""))</f>
        <v>45527</v>
      </c>
      <c r="R26" s="98"/>
      <c r="S26" s="173">
        <f ca="1">IF(Q26="","",(VLOOKUP($Q26,Calculator!$D$15:$L$98,9)+SUM(DataValidation!$I$16:$I$17)/$E$19))</f>
        <v>38712.65576906268</v>
      </c>
      <c r="T26" s="113">
        <f t="shared" ca="1" si="0"/>
        <v>2.6880501167540146E-2</v>
      </c>
      <c r="U26" s="116"/>
      <c r="V26" s="113">
        <f ca="1">IF(P26="","",'Vols - Forward Curve'!P19)</f>
        <v>3.4333999999999996E-2</v>
      </c>
      <c r="W26" s="113">
        <f ca="1">IF(V26="","",IF(strikeType=DataValidation!$C$2,strike,IF(strikeType=DataValidation!$C$3,IF(ROWS($W$9:W26)&lt;=12,StepUp1,IF(ROWS($W$9:W26)&lt;=24,StepUp2,IF(ROWS($W$9:W26)&lt;=36,StepUp3,IF(ROWS($W$9:W26)&lt;=48,StepUp4,IF(ROWS($W$9:W26)&lt;=60,StepUp5,IF(ROWS($W$9:W26)&lt;=72,StepUp6,IF(ROWS($W$9:W26)&lt;=84,StepUp7,0))))))))))</f>
        <v>0.02</v>
      </c>
      <c r="X26" s="101">
        <f ca="1">IF(V26="","",IF(AND(strikeType=DataValidation!$C$2,V26&gt;strike),('Cap Pricer'!V26-strike)*notional*((Volatilities_Resets!D21-Volatilities_Resets!C21)/360),IF(AND(strikeType=DataValidation!$C$3,V26&gt;W26),(V26-W26)*notional*((Volatilities_Resets!D21-Volatilities_Resets!C21)/360),0)))</f>
        <v>30857.916666666657</v>
      </c>
      <c r="Y26" s="101">
        <f ca="1">IF(P26="","",(IF(X26&gt;0, ((VLOOKUP('Cap Pricer'!$P26,Calculator!$C$15:$T$98,18))*X26), 0)))</f>
        <v>28974.081071973851</v>
      </c>
    </row>
    <row r="27" spans="1:28">
      <c r="C27" s="116">
        <v>3</v>
      </c>
      <c r="E27" s="194"/>
      <c r="G27" s="219" t="s">
        <v>88</v>
      </c>
      <c r="H27" s="219"/>
      <c r="L27" s="210"/>
      <c r="M27" s="211"/>
      <c r="N27" s="212"/>
      <c r="P27" s="108">
        <f ca="1">IF($Q27="","",COUNT($Q$9:$Q27))</f>
        <v>19</v>
      </c>
      <c r="Q27" s="111">
        <f ca="1">IF($Q26="","",IF($Q26&lt;EDATE(DataValidation!$I$13,$E$19-1),EDATE($Q26,1),""))</f>
        <v>45558</v>
      </c>
      <c r="R27" s="98"/>
      <c r="S27" s="173">
        <f ca="1">IF(Q27="","",(VLOOKUP($Q27,Calculator!$D$15:$L$98,9)+SUM(DataValidation!$I$16:$I$17)/$E$19))</f>
        <v>32782.718040340209</v>
      </c>
      <c r="T27" s="113">
        <f t="shared" ca="1" si="0"/>
        <v>2.2762992438837802E-2</v>
      </c>
      <c r="U27" s="116"/>
      <c r="V27" s="113">
        <f ca="1">IF(P27="","",'Vols - Forward Curve'!P20)</f>
        <v>3.05455E-2</v>
      </c>
      <c r="W27" s="113">
        <f ca="1">IF(V27="","",IF(strikeType=DataValidation!$C$2,strike,IF(strikeType=DataValidation!$C$3,IF(ROWS($W$9:W27)&lt;=12,StepUp1,IF(ROWS($W$9:W27)&lt;=24,StepUp2,IF(ROWS($W$9:W27)&lt;=36,StepUp3,IF(ROWS($W$9:W27)&lt;=48,StepUp4,IF(ROWS($W$9:W27)&lt;=60,StepUp5,IF(ROWS($W$9:W27)&lt;=72,StepUp6,IF(ROWS($W$9:W27)&lt;=84,StepUp7,0))))))))))</f>
        <v>0.02</v>
      </c>
      <c r="X27" s="101">
        <f ca="1">IF(V27="","",IF(AND(strikeType=DataValidation!$C$2,V27&gt;strike),('Cap Pricer'!V27-strike)*notional*((Volatilities_Resets!D22-Volatilities_Resets!C22)/360),IF(AND(strikeType=DataValidation!$C$3,V27&gt;W27),(V27-W27)*notional*((Volatilities_Resets!D22-Volatilities_Resets!C22)/360),0)))</f>
        <v>21969.791666666664</v>
      </c>
      <c r="Y27" s="101">
        <f ca="1">IF(P27="","",(IF(X27&gt;0, ((VLOOKUP('Cap Pricer'!$P27,Calculator!$C$15:$T$98,18))*X27), 0)))</f>
        <v>20576.443582347896</v>
      </c>
    </row>
    <row r="28" spans="1:28">
      <c r="C28" s="116">
        <v>4</v>
      </c>
      <c r="E28" s="194"/>
      <c r="L28" s="213">
        <f ca="1">SUMIF(Y9:Y92,"&lt;&gt;",Y9:Y92)</f>
        <v>1099470.0834979438</v>
      </c>
      <c r="M28" s="214"/>
      <c r="N28" s="215"/>
      <c r="P28" s="108">
        <f ca="1">IF($Q28="","",COUNT($Q$9:$Q28))</f>
        <v>20</v>
      </c>
      <c r="Q28" s="111">
        <f ca="1">IF($Q27="","",IF($Q27&lt;EDATE(DataValidation!$I$13,$E$19-1),EDATE($Q27,1),""))</f>
        <v>45588</v>
      </c>
      <c r="R28" s="98"/>
      <c r="S28" s="173">
        <f ca="1">IF(Q28="","",(VLOOKUP($Q28,Calculator!$D$15:$L$98,9)+SUM(DataValidation!$I$16:$I$17)/$E$19))</f>
        <v>33089.797594059732</v>
      </c>
      <c r="T28" s="113">
        <f t="shared" ca="1" si="0"/>
        <v>2.2976216051072692E-2</v>
      </c>
      <c r="U28" s="116"/>
      <c r="V28" s="113">
        <f ca="1">IF(P28="","",'Vols - Forward Curve'!P21)</f>
        <v>2.9600100000000001E-2</v>
      </c>
      <c r="W28" s="113">
        <f ca="1">IF(V28="","",IF(strikeType=DataValidation!$C$2,strike,IF(strikeType=DataValidation!$C$3,IF(ROWS($W$9:W28)&lt;=12,StepUp1,IF(ROWS($W$9:W28)&lt;=24,StepUp2,IF(ROWS($W$9:W28)&lt;=36,StepUp3,IF(ROWS($W$9:W28)&lt;=48,StepUp4,IF(ROWS($W$9:W28)&lt;=60,StepUp5,IF(ROWS($W$9:W28)&lt;=72,StepUp6,IF(ROWS($W$9:W28)&lt;=84,StepUp7,0))))))))))</f>
        <v>0.02</v>
      </c>
      <c r="X28" s="101">
        <f ca="1">IF(V28="","",IF(AND(strikeType=DataValidation!$C$2,V28&gt;strike),('Cap Pricer'!V28-strike)*notional*((Volatilities_Resets!D23-Volatilities_Resets!C23)/360),IF(AND(strikeType=DataValidation!$C$3,V28&gt;W28),(V28-W28)*notional*((Volatilities_Resets!D23-Volatilities_Resets!C23)/360),0)))</f>
        <v>20666.881944444445</v>
      </c>
      <c r="Y28" s="101">
        <f ca="1">IF(P28="","",(IF(X28&gt;0, ((VLOOKUP('Cap Pricer'!$P28,Calculator!$C$15:$T$98,18))*X28), 0)))</f>
        <v>19306.62463415855</v>
      </c>
    </row>
    <row r="29" spans="1:28" ht="16.5" thickBot="1">
      <c r="A29" s="90"/>
      <c r="C29" s="116">
        <v>5</v>
      </c>
      <c r="E29" s="194">
        <v>0.02</v>
      </c>
      <c r="G29" s="89" t="s">
        <v>100</v>
      </c>
      <c r="I29" s="126">
        <f ca="1">ROUNDUP(SUM(DataValidation!I15+DataValidation!J16+DataValidation!I17),-3)</f>
        <v>1441000</v>
      </c>
      <c r="L29" s="216"/>
      <c r="M29" s="217"/>
      <c r="N29" s="218"/>
      <c r="P29" s="108">
        <f ca="1">IF($Q29="","",COUNT($Q$9:$Q29))</f>
        <v>21</v>
      </c>
      <c r="Q29" s="111">
        <f ca="1">IF($Q28="","",IF($Q28&lt;EDATE(DataValidation!$I$13,$E$19-1),EDATE($Q28,1),""))</f>
        <v>45619</v>
      </c>
      <c r="R29" s="98"/>
      <c r="S29" s="173">
        <f ca="1">IF(Q29="","",(VLOOKUP($Q29,Calculator!$D$15:$L$98,9)+SUM(DataValidation!$I$16:$I$17)/$E$19))</f>
        <v>32435.651250047515</v>
      </c>
      <c r="T29" s="113">
        <f t="shared" ca="1" si="0"/>
        <v>2.2522003308117076E-2</v>
      </c>
      <c r="U29" s="116"/>
      <c r="V29" s="113">
        <f ca="1">IF(P29="","",'Vols - Forward Curve'!P22)</f>
        <v>2.9598900000000001E-2</v>
      </c>
      <c r="W29" s="113">
        <f ca="1">IF(V29="","",IF(strikeType=DataValidation!$C$2,strike,IF(strikeType=DataValidation!$C$3,IF(ROWS($W$9:W29)&lt;=12,StepUp1,IF(ROWS($W$9:W29)&lt;=24,StepUp2,IF(ROWS($W$9:W29)&lt;=36,StepUp3,IF(ROWS($W$9:W29)&lt;=48,StepUp4,IF(ROWS($W$9:W29)&lt;=60,StepUp5,IF(ROWS($W$9:W29)&lt;=72,StepUp6,IF(ROWS($W$9:W29)&lt;=84,StepUp7,0))))))))))</f>
        <v>0.02</v>
      </c>
      <c r="X29" s="101">
        <f ca="1">IF(V29="","",IF(AND(strikeType=DataValidation!$C$2,V29&gt;strike),('Cap Pricer'!V29-strike)*notional*((Volatilities_Resets!D24-Volatilities_Resets!C24)/360),IF(AND(strikeType=DataValidation!$C$3,V29&gt;W29),(V29-W29)*notional*((Volatilities_Resets!D24-Volatilities_Resets!C24)/360),0)))</f>
        <v>19997.708333333332</v>
      </c>
      <c r="Y29" s="101">
        <f ca="1">IF(P29="","",(IF(X29&gt;0, ((VLOOKUP('Cap Pricer'!$P29,Calculator!$C$15:$T$98,18))*X29), 0)))</f>
        <v>18635.757460790315</v>
      </c>
    </row>
    <row r="30" spans="1:28" ht="16.5" thickBot="1">
      <c r="A30" s="90"/>
      <c r="C30" s="116">
        <v>6</v>
      </c>
      <c r="E30" s="194"/>
      <c r="G30" s="99" t="s">
        <v>127</v>
      </c>
      <c r="H30" s="104"/>
      <c r="I30" s="127">
        <f ca="1">SUMIF(X9:X92,"&lt;&gt;",X9:X92)</f>
        <v>1152161.5555555555</v>
      </c>
      <c r="J30" s="89"/>
      <c r="K30" s="89"/>
      <c r="P30" s="108">
        <f ca="1">IF($Q30="","",COUNT($Q$9:$Q30))</f>
        <v>22</v>
      </c>
      <c r="Q30" s="111">
        <f ca="1">IF($Q29="","",IF($Q29&lt;EDATE(DataValidation!$I$13,$E$19-1),EDATE($Q29,1),""))</f>
        <v>45649</v>
      </c>
      <c r="R30" s="98"/>
      <c r="S30" s="173">
        <f ca="1">IF(Q30="","",(VLOOKUP($Q30,Calculator!$D$15:$L$98,9)+SUM(DataValidation!$I$16:$I$17)/$E$19))</f>
        <v>33847.725617132739</v>
      </c>
      <c r="T30" s="113">
        <f t="shared" ca="1" si="0"/>
        <v>2.3502490591126513E-2</v>
      </c>
      <c r="U30" s="116"/>
      <c r="V30" s="113">
        <f ca="1">IF(P30="","",'Vols - Forward Curve'!P23)</f>
        <v>2.96014E-2</v>
      </c>
      <c r="W30" s="113">
        <f ca="1">IF(V30="","",IF(strikeType=DataValidation!$C$2,strike,IF(strikeType=DataValidation!$C$3,IF(ROWS($W$9:W30)&lt;=12,StepUp1,IF(ROWS($W$9:W30)&lt;=24,StepUp2,IF(ROWS($W$9:W30)&lt;=36,StepUp3,IF(ROWS($W$9:W30)&lt;=48,StepUp4,IF(ROWS($W$9:W30)&lt;=60,StepUp5,IF(ROWS($W$9:W30)&lt;=72,StepUp6,IF(ROWS($W$9:W30)&lt;=84,StepUp7,0))))))))))</f>
        <v>0.02</v>
      </c>
      <c r="X30" s="101">
        <f ca="1">IF(V30="","",IF(AND(strikeType=DataValidation!$C$2,V30&gt;strike),('Cap Pricer'!V30-strike)*notional*((Volatilities_Resets!D25-Volatilities_Resets!C25)/360),IF(AND(strikeType=DataValidation!$C$3,V30&gt;W30),(V30-W30)*notional*((Volatilities_Resets!D25-Volatilities_Resets!C25)/360),0)))</f>
        <v>20669.680555555555</v>
      </c>
      <c r="Y30" s="101">
        <f ca="1">IF(P30="","",(IF(X30&gt;0, ((VLOOKUP('Cap Pricer'!$P30,Calculator!$C$15:$T$98,18))*X30), 0)))</f>
        <v>19212.685475475289</v>
      </c>
    </row>
    <row r="31" spans="1:28">
      <c r="B31" s="90"/>
      <c r="C31" s="116">
        <v>7</v>
      </c>
      <c r="E31" s="194"/>
      <c r="G31" s="89" t="s">
        <v>108</v>
      </c>
      <c r="I31" s="126">
        <f ca="1">I30-I29</f>
        <v>-288838.4444444445</v>
      </c>
      <c r="J31" s="89"/>
      <c r="K31" s="89"/>
      <c r="P31" s="108">
        <f ca="1">IF($Q31="","",COUNT($Q$9:$Q31))</f>
        <v>23</v>
      </c>
      <c r="Q31" s="111">
        <f ca="1">IF($Q30="","",IF($Q30&lt;EDATE(DataValidation!$I$13,$E$19-1),EDATE($Q30,1),""))</f>
        <v>45680</v>
      </c>
      <c r="R31" s="98"/>
      <c r="S31" s="173">
        <f ca="1">IF(Q31="","",(VLOOKUP($Q31,Calculator!$D$15:$L$98,9)+SUM(DataValidation!$I$16:$I$17)/$E$19))</f>
        <v>34090.175832624358</v>
      </c>
      <c r="T31" s="113">
        <f t="shared" ca="1" si="0"/>
        <v>2.3670838206941623E-2</v>
      </c>
      <c r="U31" s="116"/>
      <c r="V31" s="113">
        <f ca="1">IF(P31="","",'Vols - Forward Curve'!P24)</f>
        <v>2.9600100000000001E-2</v>
      </c>
      <c r="W31" s="113">
        <f ca="1">IF(V31="","",IF(strikeType=DataValidation!$C$2,strike,IF(strikeType=DataValidation!$C$3,IF(ROWS($W$9:W31)&lt;=12,StepUp1,IF(ROWS($W$9:W31)&lt;=24,StepUp2,IF(ROWS($W$9:W31)&lt;=36,StepUp3,IF(ROWS($W$9:W31)&lt;=48,StepUp4,IF(ROWS($W$9:W31)&lt;=60,StepUp5,IF(ROWS($W$9:W31)&lt;=72,StepUp6,IF(ROWS($W$9:W31)&lt;=84,StepUp7,0))))))))))</f>
        <v>0.02</v>
      </c>
      <c r="X31" s="101">
        <f ca="1">IF(V31="","",IF(AND(strikeType=DataValidation!$C$2,V31&gt;strike),('Cap Pricer'!V31-strike)*notional*((Volatilities_Resets!D26-Volatilities_Resets!C26)/360),IF(AND(strikeType=DataValidation!$C$3,V31&gt;W31),(V31-W31)*notional*((Volatilities_Resets!D26-Volatilities_Resets!C26)/360),0)))</f>
        <v>20666.881944444445</v>
      </c>
      <c r="Y31" s="101">
        <f ca="1">IF(P31="","",(IF(X31&gt;0, ((VLOOKUP('Cap Pricer'!$P31,Calculator!$C$15:$T$98,18))*X31), 0)))</f>
        <v>19160.960740730341</v>
      </c>
    </row>
    <row r="32" spans="1:28" ht="16.5" thickBot="1">
      <c r="A32" s="90"/>
      <c r="B32" s="90"/>
      <c r="C32" s="105"/>
      <c r="D32" s="105"/>
      <c r="E32" s="195"/>
      <c r="G32" s="105"/>
      <c r="H32" s="105"/>
      <c r="I32" s="105"/>
      <c r="J32" s="105"/>
      <c r="K32" s="105"/>
      <c r="L32" s="105"/>
      <c r="M32" s="105"/>
      <c r="N32" s="105"/>
      <c r="P32" s="108">
        <f ca="1">IF($Q32="","",COUNT($Q$9:$Q32))</f>
        <v>24</v>
      </c>
      <c r="Q32" s="111">
        <f ca="1">IF($Q31="","",IF($Q31&lt;EDATE(DataValidation!$I$13,$E$19-1),EDATE($Q31,1),""))</f>
        <v>45711</v>
      </c>
      <c r="R32" s="98"/>
      <c r="S32" s="173">
        <f ca="1">IF(Q32="","",(VLOOKUP($Q32,Calculator!$D$15:$L$98,9)+SUM(DataValidation!$I$16:$I$17)/$E$19))</f>
        <v>30990.798840003077</v>
      </c>
      <c r="T32" s="113">
        <f t="shared" ca="1" si="0"/>
        <v>2.15187562788559E-2</v>
      </c>
      <c r="U32" s="116"/>
      <c r="V32" s="113">
        <f ca="1">IF(P32="","",'Vols - Forward Curve'!P25)</f>
        <v>2.9596499999999998E-2</v>
      </c>
      <c r="W32" s="113">
        <f ca="1">IF(V32="","",IF(strikeType=DataValidation!$C$2,strike,IF(strikeType=DataValidation!$C$3,IF(ROWS($W$9:W32)&lt;=12,StepUp1,IF(ROWS($W$9:W32)&lt;=24,StepUp2,IF(ROWS($W$9:W32)&lt;=36,StepUp3,IF(ROWS($W$9:W32)&lt;=48,StepUp4,IF(ROWS($W$9:W32)&lt;=60,StepUp5,IF(ROWS($W$9:W32)&lt;=72,StepUp6,IF(ROWS($W$9:W32)&lt;=84,StepUp7,0))))))))))</f>
        <v>0.02</v>
      </c>
      <c r="X32" s="101">
        <f ca="1">IF(V32="","",IF(AND(strikeType=DataValidation!$C$2,V32&gt;strike),('Cap Pricer'!V32-strike)*notional*((Volatilities_Resets!D27-Volatilities_Resets!C27)/360),IF(AND(strikeType=DataValidation!$C$3,V32&gt;W32),(V32-W32)*notional*((Volatilities_Resets!D27-Volatilities_Resets!C27)/360),0)))</f>
        <v>18659.861111111106</v>
      </c>
      <c r="Y32" s="101">
        <f ca="1">IF(P32="","",(IF(X32&gt;0, ((VLOOKUP('Cap Pricer'!$P32,Calculator!$C$15:$T$98,18))*X32), 0)))</f>
        <v>17261.484089466423</v>
      </c>
    </row>
    <row r="33" spans="1:25">
      <c r="A33" s="90"/>
      <c r="B33" s="90"/>
      <c r="C33" s="199" t="s">
        <v>107</v>
      </c>
      <c r="D33" s="199"/>
      <c r="E33" s="199"/>
      <c r="F33" s="199"/>
      <c r="G33" s="199"/>
      <c r="H33" s="199"/>
      <c r="I33" s="199"/>
      <c r="J33" s="199"/>
      <c r="K33" s="199"/>
      <c r="L33" s="199"/>
      <c r="M33" s="199"/>
      <c r="N33" s="199"/>
      <c r="P33" s="108">
        <f ca="1">IF($Q33="","",COUNT($Q$9:$Q33))</f>
        <v>25</v>
      </c>
      <c r="Q33" s="111">
        <f ca="1">IF($Q32="","",IF($Q32&lt;EDATE(DataValidation!$I$13,$E$19-1),EDATE($Q32,1),""))</f>
        <v>45739</v>
      </c>
      <c r="R33" s="98"/>
      <c r="S33" s="173">
        <f ca="1">IF(Q33="","",(VLOOKUP($Q33,Calculator!$D$15:$L$98,9)+SUM(DataValidation!$I$16:$I$17)/$E$19))</f>
        <v>29967.967737305073</v>
      </c>
      <c r="T33" s="113">
        <f t="shared" ca="1" si="0"/>
        <v>2.0808543762972601E-2</v>
      </c>
      <c r="U33" s="116"/>
      <c r="V33" s="113">
        <f ca="1">IF(P33="","",'Vols - Forward Curve'!P26)</f>
        <v>2.8767399999999999E-2</v>
      </c>
      <c r="W33" s="113">
        <f ca="1">IF(V33="","",IF(strikeType=DataValidation!$C$2,strike,IF(strikeType=DataValidation!$C$3,IF(ROWS($W$9:W33)&lt;=12,StepUp1,IF(ROWS($W$9:W33)&lt;=24,StepUp2,IF(ROWS($W$9:W33)&lt;=36,StepUp3,IF(ROWS($W$9:W33)&lt;=48,StepUp4,IF(ROWS($W$9:W33)&lt;=60,StepUp5,IF(ROWS($W$9:W33)&lt;=72,StepUp6,IF(ROWS($W$9:W33)&lt;=84,StepUp7,0))))))))))</f>
        <v>0.02</v>
      </c>
      <c r="X33" s="101">
        <f ca="1">IF(V33="","",IF(AND(strikeType=DataValidation!$C$2,V33&gt;strike),('Cap Pricer'!V33-strike)*notional*((Volatilities_Resets!D28-Volatilities_Resets!C28)/360),IF(AND(strikeType=DataValidation!$C$3,V33&gt;W33),(V33-W33)*notional*((Volatilities_Resets!D28-Volatilities_Resets!C28)/360),0)))</f>
        <v>18874.263888888883</v>
      </c>
      <c r="Y33" s="101">
        <f ca="1">IF(P33="","",(IF(X33&gt;0, ((VLOOKUP('Cap Pricer'!$P33,Calculator!$C$15:$T$98,18))*X33), 0)))</f>
        <v>17416.380246137946</v>
      </c>
    </row>
    <row r="34" spans="1:25">
      <c r="C34" s="199"/>
      <c r="D34" s="199"/>
      <c r="E34" s="199"/>
      <c r="F34" s="199"/>
      <c r="G34" s="199"/>
      <c r="H34" s="199"/>
      <c r="I34" s="199"/>
      <c r="J34" s="199"/>
      <c r="K34" s="199"/>
      <c r="L34" s="199"/>
      <c r="M34" s="199"/>
      <c r="N34" s="199"/>
      <c r="P34" s="108">
        <f ca="1">IF($Q34="","",COUNT($Q$9:$Q34))</f>
        <v>26</v>
      </c>
      <c r="Q34" s="111">
        <f ca="1">IF($Q33="","",IF($Q33&lt;EDATE(DataValidation!$I$13,$E$19-1),EDATE($Q33,1),""))</f>
        <v>45770</v>
      </c>
      <c r="R34" s="98"/>
      <c r="S34" s="173">
        <f ca="1">IF(Q34="","",(VLOOKUP($Q34,Calculator!$D$15:$L$98,9)+SUM(DataValidation!$I$16:$I$17)/$E$19))</f>
        <v>29116.306505229997</v>
      </c>
      <c r="T34" s="113">
        <f t="shared" ca="1" si="0"/>
        <v>2.0217184676690595E-2</v>
      </c>
      <c r="U34" s="116"/>
      <c r="V34" s="113">
        <f ca="1">IF(P34="","",'Vols - Forward Curve'!P27)</f>
        <v>2.8617199999999999E-2</v>
      </c>
      <c r="W34" s="113">
        <f ca="1">IF(V34="","",IF(strikeType=DataValidation!$C$2,strike,IF(strikeType=DataValidation!$C$3,IF(ROWS($W$9:W34)&lt;=12,StepUp1,IF(ROWS($W$9:W34)&lt;=24,StepUp2,IF(ROWS($W$9:W34)&lt;=36,StepUp3,IF(ROWS($W$9:W34)&lt;=48,StepUp4,IF(ROWS($W$9:W34)&lt;=60,StepUp5,IF(ROWS($W$9:W34)&lt;=72,StepUp6,IF(ROWS($W$9:W34)&lt;=84,StepUp7,0))))))))))</f>
        <v>0.02</v>
      </c>
      <c r="X34" s="101">
        <f ca="1">IF(V34="","",IF(AND(strikeType=DataValidation!$C$2,V34&gt;strike),('Cap Pricer'!V34-strike)*notional*((Volatilities_Resets!D29-Volatilities_Resets!C29)/360),IF(AND(strikeType=DataValidation!$C$3,V34&gt;W34),(V34-W34)*notional*((Volatilities_Resets!D29-Volatilities_Resets!C29)/360),0)))</f>
        <v>17952.499999999996</v>
      </c>
      <c r="Y34" s="101">
        <f ca="1">IF(P34="","",(IF(X34&gt;0, ((VLOOKUP('Cap Pricer'!$P34,Calculator!$C$15:$T$98,18))*X34), 0)))</f>
        <v>16526.554946554133</v>
      </c>
    </row>
    <row r="35" spans="1:25">
      <c r="C35" s="199"/>
      <c r="D35" s="199"/>
      <c r="E35" s="199"/>
      <c r="F35" s="199"/>
      <c r="G35" s="199"/>
      <c r="H35" s="199"/>
      <c r="I35" s="199"/>
      <c r="J35" s="199"/>
      <c r="K35" s="199"/>
      <c r="L35" s="199"/>
      <c r="M35" s="199"/>
      <c r="N35" s="199"/>
      <c r="P35" s="108">
        <f ca="1">IF($Q35="","",COUNT($Q$9:$Q35))</f>
        <v>27</v>
      </c>
      <c r="Q35" s="111">
        <f ca="1">IF($Q34="","",IF($Q34&lt;EDATE(DataValidation!$I$13,$E$19-1),EDATE($Q34,1),""))</f>
        <v>45800</v>
      </c>
      <c r="R35" s="98"/>
      <c r="S35" s="173">
        <f ca="1">IF(Q35="","",(VLOOKUP($Q35,Calculator!$D$15:$L$98,9)+SUM(DataValidation!$I$16:$I$17)/$E$19))</f>
        <v>30372.940785679988</v>
      </c>
      <c r="T35" s="113">
        <f t="shared" ca="1" si="0"/>
        <v>2.108974065539463E-2</v>
      </c>
      <c r="U35" s="116"/>
      <c r="V35" s="113">
        <f ca="1">IF(P35="","",'Vols - Forward Curve'!P28)</f>
        <v>2.8618299999999999E-2</v>
      </c>
      <c r="W35" s="113">
        <f ca="1">IF(V35="","",IF(strikeType=DataValidation!$C$2,strike,IF(strikeType=DataValidation!$C$3,IF(ROWS($W$9:W35)&lt;=12,StepUp1,IF(ROWS($W$9:W35)&lt;=24,StepUp2,IF(ROWS($W$9:W35)&lt;=36,StepUp3,IF(ROWS($W$9:W35)&lt;=48,StepUp4,IF(ROWS($W$9:W35)&lt;=60,StepUp5,IF(ROWS($W$9:W35)&lt;=72,StepUp6,IF(ROWS($W$9:W35)&lt;=84,StepUp7,0))))))))))</f>
        <v>0.02</v>
      </c>
      <c r="X35" s="101">
        <f ca="1">IF(V35="","",IF(AND(strikeType=DataValidation!$C$2,V35&gt;strike),('Cap Pricer'!V35-strike)*notional*((Volatilities_Resets!D30-Volatilities_Resets!C30)/360),IF(AND(strikeType=DataValidation!$C$3,V35&gt;W35),(V35-W35)*notional*((Volatilities_Resets!D30-Volatilities_Resets!C30)/360),0)))</f>
        <v>18553.284722222219</v>
      </c>
      <c r="Y35" s="101">
        <f ca="1">IF(P35="","",(IF(X35&gt;0, ((VLOOKUP('Cap Pricer'!$P35,Calculator!$C$15:$T$98,18))*X35), 0)))</f>
        <v>17037.360808576894</v>
      </c>
    </row>
    <row r="36" spans="1:25">
      <c r="C36" s="90"/>
      <c r="D36" s="90"/>
      <c r="E36" s="90"/>
      <c r="P36" s="108">
        <f ca="1">IF($Q36="","",COUNT($Q$9:$Q36))</f>
        <v>28</v>
      </c>
      <c r="Q36" s="111">
        <f ca="1">IF($Q35="","",IF($Q35&lt;EDATE(DataValidation!$I$13,$E$19-1),EDATE($Q35,1),""))</f>
        <v>45831</v>
      </c>
      <c r="R36" s="98"/>
      <c r="S36" s="173">
        <f ca="1">IF(Q36="","",(VLOOKUP($Q36,Calculator!$D$15:$L$98,9)+SUM(DataValidation!$I$16:$I$17)/$E$19))</f>
        <v>29666.942699221196</v>
      </c>
      <c r="T36" s="113">
        <f t="shared" ca="1" si="0"/>
        <v>2.0599524161322356E-2</v>
      </c>
      <c r="U36" s="116"/>
      <c r="V36" s="113">
        <f ca="1">IF(P36="","",'Vols - Forward Curve'!P29)</f>
        <v>2.8614899999999999E-2</v>
      </c>
      <c r="W36" s="113">
        <f ca="1">IF(V36="","",IF(strikeType=DataValidation!$C$2,strike,IF(strikeType=DataValidation!$C$3,IF(ROWS($W$9:W36)&lt;=12,StepUp1,IF(ROWS($W$9:W36)&lt;=24,StepUp2,IF(ROWS($W$9:W36)&lt;=36,StepUp3,IF(ROWS($W$9:W36)&lt;=48,StepUp4,IF(ROWS($W$9:W36)&lt;=60,StepUp5,IF(ROWS($W$9:W36)&lt;=72,StepUp6,IF(ROWS($W$9:W36)&lt;=84,StepUp7,0))))))))))</f>
        <v>0.02</v>
      </c>
      <c r="X36" s="101">
        <f ca="1">IF(V36="","",IF(AND(strikeType=DataValidation!$C$2,V36&gt;strike),('Cap Pricer'!V36-strike)*notional*((Volatilities_Resets!D31-Volatilities_Resets!C31)/360),IF(AND(strikeType=DataValidation!$C$3,V36&gt;W36),(V36-W36)*notional*((Volatilities_Resets!D31-Volatilities_Resets!C31)/360),0)))</f>
        <v>17947.708333333328</v>
      </c>
      <c r="Y36" s="101">
        <f ca="1">IF(P36="","",(IF(X36&gt;0, ((VLOOKUP('Cap Pricer'!$P36,Calculator!$C$15:$T$98,18))*X36), 0)))</f>
        <v>16442.193811650177</v>
      </c>
    </row>
    <row r="37" spans="1:25">
      <c r="P37" s="108">
        <f ca="1">IF($Q37="","",COUNT($Q$9:$Q37))</f>
        <v>29</v>
      </c>
      <c r="Q37" s="111">
        <f ca="1">IF($Q36="","",IF($Q36&lt;EDATE(DataValidation!$I$13,$E$19-1),EDATE($Q36,1),""))</f>
        <v>45861</v>
      </c>
      <c r="R37" s="98"/>
      <c r="S37" s="173">
        <f ca="1">IF(Q37="","",(VLOOKUP($Q37,Calculator!$D$15:$L$98,9)+SUM(DataValidation!$I$16:$I$17)/$E$19))</f>
        <v>30927.083457492296</v>
      </c>
      <c r="T37" s="113">
        <f t="shared" ca="1" si="0"/>
        <v>2.1474514896291284E-2</v>
      </c>
      <c r="U37" s="116"/>
      <c r="V37" s="113">
        <f ca="1">IF(P37="","",'Vols - Forward Curve'!P30)</f>
        <v>2.8616000000000003E-2</v>
      </c>
      <c r="W37" s="113">
        <f ca="1">IF(V37="","",IF(strikeType=DataValidation!$C$2,strike,IF(strikeType=DataValidation!$C$3,IF(ROWS($W$9:W37)&lt;=12,StepUp1,IF(ROWS($W$9:W37)&lt;=24,StepUp2,IF(ROWS($W$9:W37)&lt;=36,StepUp3,IF(ROWS($W$9:W37)&lt;=48,StepUp4,IF(ROWS($W$9:W37)&lt;=60,StepUp5,IF(ROWS($W$9:W37)&lt;=72,StepUp6,IF(ROWS($W$9:W37)&lt;=84,StepUp7,0))))))))))</f>
        <v>0.02</v>
      </c>
      <c r="X37" s="101">
        <f ca="1">IF(V37="","",IF(AND(strikeType=DataValidation!$C$2,V37&gt;strike),('Cap Pricer'!V37-strike)*notional*((Volatilities_Resets!D32-Volatilities_Resets!C32)/360),IF(AND(strikeType=DataValidation!$C$3,V37&gt;W37),(V37-W37)*notional*((Volatilities_Resets!D32-Volatilities_Resets!C32)/360),0)))</f>
        <v>18548.333333333339</v>
      </c>
      <c r="Y37" s="101">
        <f ca="1">IF(P37="","",(IF(X37&gt;0, ((VLOOKUP('Cap Pricer'!$P37,Calculator!$C$15:$T$98,18))*X37), 0)))</f>
        <v>16950.412303434994</v>
      </c>
    </row>
    <row r="38" spans="1:25">
      <c r="P38" s="108">
        <f ca="1">IF($Q38="","",COUNT($Q$9:$Q38))</f>
        <v>30</v>
      </c>
      <c r="Q38" s="111">
        <f ca="1">IF($Q37="","",IF($Q37&lt;EDATE(DataValidation!$I$13,$E$19-1),EDATE($Q37,1),""))</f>
        <v>45892</v>
      </c>
      <c r="R38" s="98"/>
      <c r="S38" s="173">
        <f ca="1">IF(Q38="","",(VLOOKUP($Q38,Calculator!$D$15:$L$98,9)+SUM(DataValidation!$I$16:$I$17)/$E$19))</f>
        <v>31201.973273668907</v>
      </c>
      <c r="T38" s="113">
        <f t="shared" ca="1" si="0"/>
        <v>2.1665387257742277E-2</v>
      </c>
      <c r="U38" s="116"/>
      <c r="V38" s="113">
        <f ca="1">IF(P38="","",'Vols - Forward Curve'!P31)</f>
        <v>2.8618299999999999E-2</v>
      </c>
      <c r="W38" s="113">
        <f ca="1">IF(V38="","",IF(strikeType=DataValidation!$C$2,strike,IF(strikeType=DataValidation!$C$3,IF(ROWS($W$9:W38)&lt;=12,StepUp1,IF(ROWS($W$9:W38)&lt;=24,StepUp2,IF(ROWS($W$9:W38)&lt;=36,StepUp3,IF(ROWS($W$9:W38)&lt;=48,StepUp4,IF(ROWS($W$9:W38)&lt;=60,StepUp5,IF(ROWS($W$9:W38)&lt;=72,StepUp6,IF(ROWS($W$9:W38)&lt;=84,StepUp7,0))))))))))</f>
        <v>0.02</v>
      </c>
      <c r="X38" s="101">
        <f ca="1">IF(V38="","",IF(AND(strikeType=DataValidation!$C$2,V38&gt;strike),('Cap Pricer'!V38-strike)*notional*((Volatilities_Resets!D33-Volatilities_Resets!C33)/360),IF(AND(strikeType=DataValidation!$C$3,V38&gt;W38),(V38-W38)*notional*((Volatilities_Resets!D33-Volatilities_Resets!C33)/360),0)))</f>
        <v>18553.284722222219</v>
      </c>
      <c r="Y38" s="101">
        <f ca="1">IF(P38="","",(IF(X38&gt;0, ((VLOOKUP('Cap Pricer'!$P38,Calculator!$C$15:$T$98,18))*X38), 0)))</f>
        <v>16913.016071097914</v>
      </c>
    </row>
    <row r="39" spans="1:25">
      <c r="P39" s="108">
        <f ca="1">IF($Q39="","",COUNT($Q$9:$Q39))</f>
        <v>31</v>
      </c>
      <c r="Q39" s="111">
        <f ca="1">IF($Q38="","",IF($Q38&lt;EDATE(DataValidation!$I$13,$E$19-1),EDATE($Q38,1),""))</f>
        <v>45923</v>
      </c>
      <c r="R39" s="98"/>
      <c r="S39" s="173">
        <f ca="1">IF(Q39="","",(VLOOKUP($Q39,Calculator!$D$15:$L$98,9)+SUM(DataValidation!$I$16:$I$17)/$E$19))</f>
        <v>30452.30155452247</v>
      </c>
      <c r="T39" s="113">
        <f t="shared" ca="1" si="0"/>
        <v>2.1144845560939034E-2</v>
      </c>
      <c r="U39" s="116"/>
      <c r="V39" s="113">
        <f ca="1">IF(P39="","",'Vols - Forward Curve'!P32)</f>
        <v>2.8617199999999999E-2</v>
      </c>
      <c r="W39" s="113">
        <f ca="1">IF(V39="","",IF(strikeType=DataValidation!$C$2,strike,IF(strikeType=DataValidation!$C$3,IF(ROWS($W$9:W39)&lt;=12,StepUp1,IF(ROWS($W$9:W39)&lt;=24,StepUp2,IF(ROWS($W$9:W39)&lt;=36,StepUp3,IF(ROWS($W$9:W39)&lt;=48,StepUp4,IF(ROWS($W$9:W39)&lt;=60,StepUp5,IF(ROWS($W$9:W39)&lt;=72,StepUp6,IF(ROWS($W$9:W39)&lt;=84,StepUp7,0))))))))))</f>
        <v>0.02</v>
      </c>
      <c r="X39" s="101">
        <f ca="1">IF(V39="","",IF(AND(strikeType=DataValidation!$C$2,V39&gt;strike),('Cap Pricer'!V39-strike)*notional*((Volatilities_Resets!D34-Volatilities_Resets!C34)/360),IF(AND(strikeType=DataValidation!$C$3,V39&gt;W39),(V39-W39)*notional*((Volatilities_Resets!D34-Volatilities_Resets!C34)/360),0)))</f>
        <v>17952.499999999996</v>
      </c>
      <c r="Y39" s="101">
        <f ca="1">IF(P39="","",(IF(X39&gt;0, ((VLOOKUP('Cap Pricer'!$P39,Calculator!$C$15:$T$98,18))*X39), 0)))</f>
        <v>16326.536001210145</v>
      </c>
    </row>
    <row r="40" spans="1:25">
      <c r="P40" s="108">
        <f ca="1">IF($Q40="","",COUNT($Q$9:$Q40))</f>
        <v>32</v>
      </c>
      <c r="Q40" s="111">
        <f ca="1">IF($Q39="","",IF($Q39&lt;EDATE(DataValidation!$I$13,$E$19-1),EDATE($Q39,1),""))</f>
        <v>45953</v>
      </c>
      <c r="R40" s="98"/>
      <c r="S40" s="173">
        <f ca="1">IF(Q40="","",(VLOOKUP($Q40,Calculator!$D$15:$L$98,9)+SUM(DataValidation!$I$16:$I$17)/$E$19))</f>
        <v>31717.1209111188</v>
      </c>
      <c r="T40" s="113">
        <f t="shared" ca="1" si="0"/>
        <v>2.2023084925206195E-2</v>
      </c>
      <c r="U40" s="116"/>
      <c r="V40" s="113">
        <f ca="1">IF(P40="","",'Vols - Forward Curve'!P33)</f>
        <v>2.8617199999999999E-2</v>
      </c>
      <c r="W40" s="113">
        <f ca="1">IF(V40="","",IF(strikeType=DataValidation!$C$2,strike,IF(strikeType=DataValidation!$C$3,IF(ROWS($W$9:W40)&lt;=12,StepUp1,IF(ROWS($W$9:W40)&lt;=24,StepUp2,IF(ROWS($W$9:W40)&lt;=36,StepUp3,IF(ROWS($W$9:W40)&lt;=48,StepUp4,IF(ROWS($W$9:W40)&lt;=60,StepUp5,IF(ROWS($W$9:W40)&lt;=72,StepUp6,IF(ROWS($W$9:W40)&lt;=84,StepUp7,0))))))))))</f>
        <v>0.02</v>
      </c>
      <c r="X40" s="101">
        <f ca="1">IF(V40="","",IF(AND(strikeType=DataValidation!$C$2,V40&gt;strike),('Cap Pricer'!V40-strike)*notional*((Volatilities_Resets!D35-Volatilities_Resets!C35)/360),IF(AND(strikeType=DataValidation!$C$3,V40&gt;W40),(V40-W40)*notional*((Volatilities_Resets!D35-Volatilities_Resets!C35)/360),0)))</f>
        <v>18550.916666666664</v>
      </c>
      <c r="Y40" s="101">
        <f ca="1">IF(P40="","",(IF(X40&gt;0, ((VLOOKUP('Cap Pricer'!$P40,Calculator!$C$15:$T$98,18))*X40), 0)))</f>
        <v>16829.054684240527</v>
      </c>
    </row>
    <row r="41" spans="1:25">
      <c r="P41" s="108">
        <f ca="1">IF($Q41="","",COUNT($Q$9:$Q41))</f>
        <v>33</v>
      </c>
      <c r="Q41" s="111">
        <f ca="1">IF($Q40="","",IF($Q40&lt;EDATE(DataValidation!$I$13,$E$19-1),EDATE($Q40,1),""))</f>
        <v>45984</v>
      </c>
      <c r="R41" s="98"/>
      <c r="S41" s="173">
        <f ca="1">IF(Q41="","",(VLOOKUP($Q41,Calculator!$D$15:$L$98,9)+SUM(DataValidation!$I$16:$I$17)/$E$19))</f>
        <v>30937.673316462329</v>
      </c>
      <c r="T41" s="113">
        <f t="shared" ref="T41:T72" ca="1" si="1">IF(Q41="","",$S41/SUM($S$9:$S$92))</f>
        <v>2.1481868065707153E-2</v>
      </c>
      <c r="U41" s="116"/>
      <c r="V41" s="113">
        <f ca="1">IF(P41="","",'Vols - Forward Curve'!P34)</f>
        <v>2.8614899999999999E-2</v>
      </c>
      <c r="W41" s="113">
        <f ca="1">IF(V41="","",IF(strikeType=DataValidation!$C$2,strike,IF(strikeType=DataValidation!$C$3,IF(ROWS($W$9:W41)&lt;=12,StepUp1,IF(ROWS($W$9:W41)&lt;=24,StepUp2,IF(ROWS($W$9:W41)&lt;=36,StepUp3,IF(ROWS($W$9:W41)&lt;=48,StepUp4,IF(ROWS($W$9:W41)&lt;=60,StepUp5,IF(ROWS($W$9:W41)&lt;=72,StepUp6,IF(ROWS($W$9:W41)&lt;=84,StepUp7,0))))))))))</f>
        <v>0.02</v>
      </c>
      <c r="X41" s="101">
        <f ca="1">IF(V41="","",IF(AND(strikeType=DataValidation!$C$2,V41&gt;strike),('Cap Pricer'!V41-strike)*notional*((Volatilities_Resets!D36-Volatilities_Resets!C36)/360),IF(AND(strikeType=DataValidation!$C$3,V41&gt;W41),(V41-W41)*notional*((Volatilities_Resets!D36-Volatilities_Resets!C36)/360),0)))</f>
        <v>17947.708333333328</v>
      </c>
      <c r="Y41" s="101">
        <f ca="1">IF(P41="","",(IF(X41&gt;0, ((VLOOKUP('Cap Pricer'!$P41,Calculator!$C$15:$T$98,18))*X41), 0)))</f>
        <v>16243.216081275401</v>
      </c>
    </row>
    <row r="42" spans="1:25">
      <c r="P42" s="108">
        <f ca="1">IF($Q42="","",COUNT($Q$9:$Q42))</f>
        <v>34</v>
      </c>
      <c r="Q42" s="111">
        <f ca="1">IF($Q41="","",IF($Q41&lt;EDATE(DataValidation!$I$13,$E$19-1),EDATE($Q41,1),""))</f>
        <v>46014</v>
      </c>
      <c r="R42" s="98"/>
      <c r="S42" s="173">
        <f ca="1">IF(Q42="","",(VLOOKUP($Q42,Calculator!$D$15:$L$98,9)+SUM(DataValidation!$I$16:$I$17)/$E$19))</f>
        <v>32184.000941903767</v>
      </c>
      <c r="T42" s="113">
        <f t="shared" ca="1" si="1"/>
        <v>2.2347267520362733E-2</v>
      </c>
      <c r="U42" s="116"/>
      <c r="V42" s="113">
        <f ca="1">IF(P42="","",'Vols - Forward Curve'!P35)</f>
        <v>2.8616000000000003E-2</v>
      </c>
      <c r="W42" s="113">
        <f ca="1">IF(V42="","",IF(strikeType=DataValidation!$C$2,strike,IF(strikeType=DataValidation!$C$3,IF(ROWS($W$9:W42)&lt;=12,StepUp1,IF(ROWS($W$9:W42)&lt;=24,StepUp2,IF(ROWS($W$9:W42)&lt;=36,StepUp3,IF(ROWS($W$9:W42)&lt;=48,StepUp4,IF(ROWS($W$9:W42)&lt;=60,StepUp5,IF(ROWS($W$9:W42)&lt;=72,StepUp6,IF(ROWS($W$9:W42)&lt;=84,StepUp7,0))))))))))</f>
        <v>0.02</v>
      </c>
      <c r="X42" s="101">
        <f ca="1">IF(V42="","",IF(AND(strikeType=DataValidation!$C$2,V42&gt;strike),('Cap Pricer'!V42-strike)*notional*((Volatilities_Resets!D37-Volatilities_Resets!C37)/360),IF(AND(strikeType=DataValidation!$C$3,V42&gt;W42),(V42-W42)*notional*((Volatilities_Resets!D37-Volatilities_Resets!C37)/360),0)))</f>
        <v>18548.333333333339</v>
      </c>
      <c r="Y42" s="101">
        <f ca="1">IF(P42="","",(IF(X42&gt;0, ((VLOOKUP('Cap Pricer'!$P42,Calculator!$C$15:$T$98,18))*X42), 0)))</f>
        <v>16745.320448596114</v>
      </c>
    </row>
    <row r="43" spans="1:25">
      <c r="P43" s="108">
        <f ca="1">IF($Q43="","",COUNT($Q$9:$Q43))</f>
        <v>35</v>
      </c>
      <c r="Q43" s="111">
        <f ca="1">IF($Q42="","",IF($Q42&lt;EDATE(DataValidation!$I$13,$E$19-1),EDATE($Q42,1),""))</f>
        <v>46045</v>
      </c>
      <c r="R43" s="98"/>
      <c r="S43" s="173">
        <f ca="1">IF(Q43="","",(VLOOKUP($Q43,Calculator!$D$15:$L$98,9)+SUM(DataValidation!$I$16:$I$17)/$E$19))</f>
        <v>31693.132459960369</v>
      </c>
      <c r="T43" s="113">
        <f t="shared" ca="1" si="1"/>
        <v>2.2006428315718633E-2</v>
      </c>
      <c r="U43" s="116"/>
      <c r="V43" s="113">
        <f ca="1">IF(P43="","",'Vols - Forward Curve'!P36)</f>
        <v>2.8616000000000003E-2</v>
      </c>
      <c r="W43" s="113">
        <f ca="1">IF(V43="","",IF(strikeType=DataValidation!$C$2,strike,IF(strikeType=DataValidation!$C$3,IF(ROWS($W$9:W43)&lt;=12,StepUp1,IF(ROWS($W$9:W43)&lt;=24,StepUp2,IF(ROWS($W$9:W43)&lt;=36,StepUp3,IF(ROWS($W$9:W43)&lt;=48,StepUp4,IF(ROWS($W$9:W43)&lt;=60,StepUp5,IF(ROWS($W$9:W43)&lt;=72,StepUp6,IF(ROWS($W$9:W43)&lt;=84,StepUp7,0))))))))))</f>
        <v>0.02</v>
      </c>
      <c r="X43" s="101">
        <f ca="1">IF(V43="","",IF(AND(strikeType=DataValidation!$C$2,V43&gt;strike),('Cap Pricer'!V43-strike)*notional*((Volatilities_Resets!D38-Volatilities_Resets!C38)/360),IF(AND(strikeType=DataValidation!$C$3,V43&gt;W43),(V43-W43)*notional*((Volatilities_Resets!D38-Volatilities_Resets!C38)/360),0)))</f>
        <v>18548.333333333339</v>
      </c>
      <c r="Y43" s="101">
        <f ca="1">IF(P43="","",(IF(X43&gt;0, ((VLOOKUP('Cap Pricer'!$P43,Calculator!$C$15:$T$98,18))*X43), 0)))</f>
        <v>16703.953015053343</v>
      </c>
    </row>
    <row r="44" spans="1:25">
      <c r="P44" s="108">
        <f ca="1">IF($Q44="","",COUNT($Q$9:$Q44))</f>
        <v>36</v>
      </c>
      <c r="Q44" s="111">
        <f ca="1">IF($Q43="","",IF($Q43&lt;EDATE(DataValidation!$I$13,$E$19-1),EDATE($Q43,1),""))</f>
        <v>46076</v>
      </c>
      <c r="R44" s="98"/>
      <c r="S44" s="173">
        <f ca="1">IF(Q44="","",(VLOOKUP($Q44,Calculator!$D$15:$L$98,9)+SUM(DataValidation!$I$16:$I$17)/$E$19))</f>
        <v>28126.578977715562</v>
      </c>
      <c r="T44" s="113">
        <f t="shared" ca="1" si="1"/>
        <v>1.9529957943458839E-2</v>
      </c>
      <c r="U44" s="116"/>
      <c r="V44" s="113">
        <f ca="1">IF(P44="","",'Vols - Forward Curve'!P37)</f>
        <v>2.8612600000000002E-2</v>
      </c>
      <c r="W44" s="113">
        <f ca="1">IF(V44="","",IF(strikeType=DataValidation!$C$2,strike,IF(strikeType=DataValidation!$C$3,IF(ROWS($W$9:W44)&lt;=12,StepUp1,IF(ROWS($W$9:W44)&lt;=24,StepUp2,IF(ROWS($W$9:W44)&lt;=36,StepUp3,IF(ROWS($W$9:W44)&lt;=48,StepUp4,IF(ROWS($W$9:W44)&lt;=60,StepUp5,IF(ROWS($W$9:W44)&lt;=72,StepUp6,IF(ROWS($W$9:W44)&lt;=84,StepUp7,0))))))))))</f>
        <v>0.02</v>
      </c>
      <c r="X44" s="101">
        <f ca="1">IF(V44="","",IF(AND(strikeType=DataValidation!$C$2,V44&gt;strike),('Cap Pricer'!V44-strike)*notional*((Volatilities_Resets!D39-Volatilities_Resets!C39)/360),IF(AND(strikeType=DataValidation!$C$3,V44&gt;W44),(V44-W44)*notional*((Volatilities_Resets!D39-Volatilities_Resets!C39)/360),0)))</f>
        <v>16746.722222222226</v>
      </c>
      <c r="Y44" s="101">
        <f ca="1">IF(P44="","",(IF(X44&gt;0, ((VLOOKUP('Cap Pricer'!$P44,Calculator!$C$15:$T$98,18))*X44), 0)))</f>
        <v>15048.646017202993</v>
      </c>
    </row>
    <row r="45" spans="1:25">
      <c r="P45" s="108" t="str">
        <f ca="1">IF($Q45="","",COUNT($Q$9:$Q45))</f>
        <v/>
      </c>
      <c r="Q45" s="111" t="str">
        <f ca="1">IF($Q44="","",IF($Q44&lt;EDATE(DataValidation!$I$13,$E$19-1),EDATE($Q44,1),""))</f>
        <v/>
      </c>
      <c r="R45" s="98"/>
      <c r="S45" s="173" t="str">
        <f ca="1">IF(Q45="","",(VLOOKUP($Q45,Calculator!$D$15:$L$98,9)+SUM(DataValidation!$I$16:$I$17)/$E$19))</f>
        <v/>
      </c>
      <c r="T45" s="113" t="str">
        <f t="shared" ca="1" si="1"/>
        <v/>
      </c>
      <c r="U45" s="116"/>
      <c r="V45" s="113" t="str">
        <f ca="1">IF(P45="","",'Vols - Forward Curve'!P38)</f>
        <v/>
      </c>
      <c r="W45" s="113" t="str">
        <f ca="1">IF(V45="","",IF(strikeType=DataValidation!$C$2,strike,IF(strikeType=DataValidation!$C$3,IF(ROWS($W$9:W45)&lt;=12,StepUp1,IF(ROWS($W$9:W45)&lt;=24,StepUp2,IF(ROWS($W$9:W45)&lt;=36,StepUp3,IF(ROWS($W$9:W45)&lt;=48,StepUp4,IF(ROWS($W$9:W45)&lt;=60,StepUp5,IF(ROWS($W$9:W45)&lt;=72,StepUp6,IF(ROWS($W$9:W45)&lt;=84,StepUp7,0))))))))))</f>
        <v/>
      </c>
      <c r="X45" s="101" t="str">
        <f ca="1">IF(V45="","",IF(AND(strikeType=DataValidation!$C$2,V45&gt;strike),('Cap Pricer'!V45-strike)*notional*((Volatilities_Resets!D40-Volatilities_Resets!C40)/360),IF(AND(strikeType=DataValidation!$C$3,V45&gt;W45),(V45-W45)*notional*((Volatilities_Resets!D40-Volatilities_Resets!C40)/360),0)))</f>
        <v/>
      </c>
      <c r="Y45" s="101" t="str">
        <f ca="1">IF(P45="","",(IF(X45&gt;0, ((VLOOKUP('Cap Pricer'!$P45,Calculator!$C$15:$T$98,18))*X45), 0)))</f>
        <v/>
      </c>
    </row>
    <row r="46" spans="1:25">
      <c r="P46" s="108" t="str">
        <f ca="1">IF($Q46="","",COUNT($Q$9:$Q46))</f>
        <v/>
      </c>
      <c r="Q46" s="111" t="str">
        <f ca="1">IF($Q45="","",IF($Q45&lt;EDATE(DataValidation!$I$13,$E$19-1),EDATE($Q45,1),""))</f>
        <v/>
      </c>
      <c r="R46" s="98"/>
      <c r="S46" s="173" t="str">
        <f ca="1">IF(Q46="","",(VLOOKUP($Q46,Calculator!$D$15:$L$98,9)+SUM(DataValidation!$I$16:$I$17)/$E$19))</f>
        <v/>
      </c>
      <c r="T46" s="113" t="str">
        <f t="shared" ca="1" si="1"/>
        <v/>
      </c>
      <c r="U46" s="116"/>
      <c r="V46" s="113" t="str">
        <f ca="1">IF(P46="","",'Vols - Forward Curve'!P39)</f>
        <v/>
      </c>
      <c r="W46" s="113" t="str">
        <f ca="1">IF(V46="","",IF(strikeType=DataValidation!$C$2,strike,IF(strikeType=DataValidation!$C$3,IF(ROWS($W$9:W46)&lt;=12,StepUp1,IF(ROWS($W$9:W46)&lt;=24,StepUp2,IF(ROWS($W$9:W46)&lt;=36,StepUp3,IF(ROWS($W$9:W46)&lt;=48,StepUp4,IF(ROWS($W$9:W46)&lt;=60,StepUp5,IF(ROWS($W$9:W46)&lt;=72,StepUp6,IF(ROWS($W$9:W46)&lt;=84,StepUp7,0))))))))))</f>
        <v/>
      </c>
      <c r="X46" s="101" t="str">
        <f ca="1">IF(V46="","",IF(AND(strikeType=DataValidation!$C$2,V46&gt;strike),('Cap Pricer'!V46-strike)*notional*((Volatilities_Resets!D41-Volatilities_Resets!C41)/360),IF(AND(strikeType=DataValidation!$C$3,V46&gt;W46),(V46-W46)*notional*((Volatilities_Resets!D41-Volatilities_Resets!C41)/360),0)))</f>
        <v/>
      </c>
      <c r="Y46" s="101" t="str">
        <f ca="1">IF(P46="","",(IF(X46&gt;0, ((VLOOKUP('Cap Pricer'!$P46,Calculator!$C$15:$T$98,18))*X46), 0)))</f>
        <v/>
      </c>
    </row>
    <row r="47" spans="1:25">
      <c r="P47" s="108" t="str">
        <f ca="1">IF($Q47="","",COUNT($Q$9:$Q47))</f>
        <v/>
      </c>
      <c r="Q47" s="111" t="str">
        <f ca="1">IF($Q46="","",IF($Q46&lt;EDATE(DataValidation!$I$13,$E$19-1),EDATE($Q46,1),""))</f>
        <v/>
      </c>
      <c r="R47" s="98"/>
      <c r="S47" s="173" t="str">
        <f ca="1">IF(Q47="","",(VLOOKUP($Q47,Calculator!$D$15:$L$98,9)+SUM(DataValidation!$I$16:$I$17)/$E$19))</f>
        <v/>
      </c>
      <c r="T47" s="113" t="str">
        <f t="shared" ca="1" si="1"/>
        <v/>
      </c>
      <c r="U47" s="116"/>
      <c r="V47" s="113" t="str">
        <f ca="1">IF(P47="","",'Vols - Forward Curve'!P40)</f>
        <v/>
      </c>
      <c r="W47" s="113" t="str">
        <f ca="1">IF(V47="","",IF(strikeType=DataValidation!$C$2,strike,IF(strikeType=DataValidation!$C$3,IF(ROWS($W$9:W47)&lt;=12,StepUp1,IF(ROWS($W$9:W47)&lt;=24,StepUp2,IF(ROWS($W$9:W47)&lt;=36,StepUp3,IF(ROWS($W$9:W47)&lt;=48,StepUp4,IF(ROWS($W$9:W47)&lt;=60,StepUp5,IF(ROWS($W$9:W47)&lt;=72,StepUp6,IF(ROWS($W$9:W47)&lt;=84,StepUp7,0))))))))))</f>
        <v/>
      </c>
      <c r="X47" s="101" t="str">
        <f ca="1">IF(V47="","",IF(AND(strikeType=DataValidation!$C$2,V47&gt;strike),('Cap Pricer'!V47-strike)*notional*((Volatilities_Resets!D42-Volatilities_Resets!C42)/360),IF(AND(strikeType=DataValidation!$C$3,V47&gt;W47),(V47-W47)*notional*((Volatilities_Resets!D42-Volatilities_Resets!C42)/360),0)))</f>
        <v/>
      </c>
      <c r="Y47" s="101" t="str">
        <f ca="1">IF(P47="","",(IF(X47&gt;0, ((VLOOKUP('Cap Pricer'!$P47,Calculator!$C$15:$T$98,18))*X47), 0)))</f>
        <v/>
      </c>
    </row>
    <row r="48" spans="1:25">
      <c r="P48" s="108" t="str">
        <f ca="1">IF($Q48="","",COUNT($Q$9:$Q48))</f>
        <v/>
      </c>
      <c r="Q48" s="111" t="str">
        <f ca="1">IF($Q47="","",IF($Q47&lt;EDATE(DataValidation!$I$13,$E$19-1),EDATE($Q47,1),""))</f>
        <v/>
      </c>
      <c r="R48" s="98"/>
      <c r="S48" s="173" t="str">
        <f ca="1">IF(Q48="","",(VLOOKUP($Q48,Calculator!$D$15:$L$98,9)+SUM(DataValidation!$I$16:$I$17)/$E$19))</f>
        <v/>
      </c>
      <c r="T48" s="113" t="str">
        <f t="shared" ca="1" si="1"/>
        <v/>
      </c>
      <c r="U48" s="116"/>
      <c r="V48" s="113" t="str">
        <f ca="1">IF(P48="","",'Vols - Forward Curve'!P41)</f>
        <v/>
      </c>
      <c r="W48" s="113" t="str">
        <f ca="1">IF(V48="","",IF(strikeType=DataValidation!$C$2,strike,IF(strikeType=DataValidation!$C$3,IF(ROWS($W$9:W48)&lt;=12,StepUp1,IF(ROWS($W$9:W48)&lt;=24,StepUp2,IF(ROWS($W$9:W48)&lt;=36,StepUp3,IF(ROWS($W$9:W48)&lt;=48,StepUp4,IF(ROWS($W$9:W48)&lt;=60,StepUp5,IF(ROWS($W$9:W48)&lt;=72,StepUp6,IF(ROWS($W$9:W48)&lt;=84,StepUp7,0))))))))))</f>
        <v/>
      </c>
      <c r="X48" s="101" t="str">
        <f ca="1">IF(V48="","",IF(AND(strikeType=DataValidation!$C$2,V48&gt;strike),('Cap Pricer'!V48-strike)*notional*((Volatilities_Resets!D43-Volatilities_Resets!C43)/360),IF(AND(strikeType=DataValidation!$C$3,V48&gt;W48),(V48-W48)*notional*((Volatilities_Resets!D43-Volatilities_Resets!C43)/360),0)))</f>
        <v/>
      </c>
      <c r="Y48" s="101" t="str">
        <f ca="1">IF(P48="","",(IF(X48&gt;0, ((VLOOKUP('Cap Pricer'!$P48,Calculator!$C$15:$T$98,18))*X48), 0)))</f>
        <v/>
      </c>
    </row>
    <row r="49" spans="16:25">
      <c r="P49" s="108" t="str">
        <f ca="1">IF($Q49="","",COUNT($Q$9:$Q49))</f>
        <v/>
      </c>
      <c r="Q49" s="111" t="str">
        <f ca="1">IF($Q48="","",IF($Q48&lt;EDATE(DataValidation!$I$13,$E$19-1),EDATE($Q48,1),""))</f>
        <v/>
      </c>
      <c r="R49" s="98"/>
      <c r="S49" s="173" t="str">
        <f ca="1">IF(Q49="","",(VLOOKUP($Q49,Calculator!$D$15:$L$98,9)+SUM(DataValidation!$I$16:$I$17)/$E$19))</f>
        <v/>
      </c>
      <c r="T49" s="113" t="str">
        <f t="shared" ca="1" si="1"/>
        <v/>
      </c>
      <c r="U49" s="116"/>
      <c r="V49" s="113" t="str">
        <f ca="1">IF(P49="","",'Vols - Forward Curve'!P42)</f>
        <v/>
      </c>
      <c r="W49" s="113" t="str">
        <f ca="1">IF(V49="","",IF(strikeType=DataValidation!$C$2,strike,IF(strikeType=DataValidation!$C$3,IF(ROWS($W$9:W49)&lt;=12,StepUp1,IF(ROWS($W$9:W49)&lt;=24,StepUp2,IF(ROWS($W$9:W49)&lt;=36,StepUp3,IF(ROWS($W$9:W49)&lt;=48,StepUp4,IF(ROWS($W$9:W49)&lt;=60,StepUp5,IF(ROWS($W$9:W49)&lt;=72,StepUp6,IF(ROWS($W$9:W49)&lt;=84,StepUp7,0))))))))))</f>
        <v/>
      </c>
      <c r="X49" s="101" t="str">
        <f ca="1">IF(V49="","",IF(AND(strikeType=DataValidation!$C$2,V49&gt;strike),('Cap Pricer'!V49-strike)*notional*((Volatilities_Resets!D44-Volatilities_Resets!C44)/360),IF(AND(strikeType=DataValidation!$C$3,V49&gt;W49),(V49-W49)*notional*((Volatilities_Resets!D44-Volatilities_Resets!C44)/360),0)))</f>
        <v/>
      </c>
      <c r="Y49" s="101" t="str">
        <f ca="1">IF(P49="","",(IF(X49&gt;0, ((VLOOKUP('Cap Pricer'!$P49,Calculator!$C$15:$T$98,18))*X49), 0)))</f>
        <v/>
      </c>
    </row>
    <row r="50" spans="16:25">
      <c r="P50" s="108" t="str">
        <f ca="1">IF($Q50="","",COUNT($Q$9:$Q50))</f>
        <v/>
      </c>
      <c r="Q50" s="111" t="str">
        <f ca="1">IF($Q49="","",IF($Q49&lt;EDATE(DataValidation!$I$13,$E$19-1),EDATE($Q49,1),""))</f>
        <v/>
      </c>
      <c r="R50" s="98"/>
      <c r="S50" s="173" t="str">
        <f ca="1">IF(Q50="","",(VLOOKUP($Q50,Calculator!$D$15:$L$98,9)+SUM(DataValidation!$I$16:$I$17)/$E$19))</f>
        <v/>
      </c>
      <c r="T50" s="113" t="str">
        <f t="shared" ca="1" si="1"/>
        <v/>
      </c>
      <c r="U50" s="116"/>
      <c r="V50" s="113" t="str">
        <f ca="1">IF(P50="","",'Vols - Forward Curve'!P43)</f>
        <v/>
      </c>
      <c r="W50" s="113" t="str">
        <f ca="1">IF(V50="","",IF(strikeType=DataValidation!$C$2,strike,IF(strikeType=DataValidation!$C$3,IF(ROWS($W$9:W50)&lt;=12,StepUp1,IF(ROWS($W$9:W50)&lt;=24,StepUp2,IF(ROWS($W$9:W50)&lt;=36,StepUp3,IF(ROWS($W$9:W50)&lt;=48,StepUp4,IF(ROWS($W$9:W50)&lt;=60,StepUp5,IF(ROWS($W$9:W50)&lt;=72,StepUp6,IF(ROWS($W$9:W50)&lt;=84,StepUp7,0))))))))))</f>
        <v/>
      </c>
      <c r="X50" s="101" t="str">
        <f ca="1">IF(V50="","",IF(AND(strikeType=DataValidation!$C$2,V50&gt;strike),('Cap Pricer'!V50-strike)*notional*((Volatilities_Resets!D45-Volatilities_Resets!C45)/360),IF(AND(strikeType=DataValidation!$C$3,V50&gt;W50),(V50-W50)*notional*((Volatilities_Resets!D45-Volatilities_Resets!C45)/360),0)))</f>
        <v/>
      </c>
      <c r="Y50" s="101" t="str">
        <f ca="1">IF(P50="","",(IF(X50&gt;0, ((VLOOKUP('Cap Pricer'!$P50,Calculator!$C$15:$T$98,18))*X50), 0)))</f>
        <v/>
      </c>
    </row>
    <row r="51" spans="16:25">
      <c r="P51" s="108" t="str">
        <f ca="1">IF($Q51="","",COUNT($Q$9:$Q51))</f>
        <v/>
      </c>
      <c r="Q51" s="111" t="str">
        <f ca="1">IF($Q50="","",IF($Q50&lt;EDATE(DataValidation!$I$13,$E$19-1),EDATE($Q50,1),""))</f>
        <v/>
      </c>
      <c r="R51" s="98"/>
      <c r="S51" s="173" t="str">
        <f ca="1">IF(Q51="","",(VLOOKUP($Q51,Calculator!$D$15:$L$98,9)+SUM(DataValidation!$I$16:$I$17)/$E$19))</f>
        <v/>
      </c>
      <c r="T51" s="113" t="str">
        <f t="shared" ca="1" si="1"/>
        <v/>
      </c>
      <c r="U51" s="116"/>
      <c r="V51" s="113" t="str">
        <f ca="1">IF(P51="","",'Vols - Forward Curve'!P44)</f>
        <v/>
      </c>
      <c r="W51" s="113" t="str">
        <f ca="1">IF(V51="","",IF(strikeType=DataValidation!$C$2,strike,IF(strikeType=DataValidation!$C$3,IF(ROWS($W$9:W51)&lt;=12,StepUp1,IF(ROWS($W$9:W51)&lt;=24,StepUp2,IF(ROWS($W$9:W51)&lt;=36,StepUp3,IF(ROWS($W$9:W51)&lt;=48,StepUp4,IF(ROWS($W$9:W51)&lt;=60,StepUp5,IF(ROWS($W$9:W51)&lt;=72,StepUp6,IF(ROWS($W$9:W51)&lt;=84,StepUp7,0))))))))))</f>
        <v/>
      </c>
      <c r="X51" s="101" t="str">
        <f ca="1">IF(V51="","",IF(AND(strikeType=DataValidation!$C$2,V51&gt;strike),('Cap Pricer'!V51-strike)*notional*((Volatilities_Resets!D46-Volatilities_Resets!C46)/360),IF(AND(strikeType=DataValidation!$C$3,V51&gt;W51),(V51-W51)*notional*((Volatilities_Resets!D46-Volatilities_Resets!C46)/360),0)))</f>
        <v/>
      </c>
      <c r="Y51" s="101" t="str">
        <f ca="1">IF(P51="","",(IF(X51&gt;0, ((VLOOKUP('Cap Pricer'!$P51,Calculator!$C$15:$T$98,18))*X51), 0)))</f>
        <v/>
      </c>
    </row>
    <row r="52" spans="16:25">
      <c r="P52" s="108" t="str">
        <f ca="1">IF($Q52="","",COUNT($Q$9:$Q52))</f>
        <v/>
      </c>
      <c r="Q52" s="111" t="str">
        <f ca="1">IF($Q51="","",IF($Q51&lt;EDATE(DataValidation!$I$13,$E$19-1),EDATE($Q51,1),""))</f>
        <v/>
      </c>
      <c r="R52" s="98"/>
      <c r="S52" s="173" t="str">
        <f ca="1">IF(Q52="","",(VLOOKUP($Q52,Calculator!$D$15:$L$98,9)+SUM(DataValidation!$I$16:$I$17)/$E$19))</f>
        <v/>
      </c>
      <c r="T52" s="113" t="str">
        <f t="shared" ca="1" si="1"/>
        <v/>
      </c>
      <c r="U52" s="116"/>
      <c r="V52" s="113" t="str">
        <f ca="1">IF(P52="","",'Vols - Forward Curve'!P45)</f>
        <v/>
      </c>
      <c r="W52" s="113" t="str">
        <f ca="1">IF(V52="","",IF(strikeType=DataValidation!$C$2,strike,IF(strikeType=DataValidation!$C$3,IF(ROWS($W$9:W52)&lt;=12,StepUp1,IF(ROWS($W$9:W52)&lt;=24,StepUp2,IF(ROWS($W$9:W52)&lt;=36,StepUp3,IF(ROWS($W$9:W52)&lt;=48,StepUp4,IF(ROWS($W$9:W52)&lt;=60,StepUp5,IF(ROWS($W$9:W52)&lt;=72,StepUp6,IF(ROWS($W$9:W52)&lt;=84,StepUp7,0))))))))))</f>
        <v/>
      </c>
      <c r="X52" s="101" t="str">
        <f ca="1">IF(V52="","",IF(AND(strikeType=DataValidation!$C$2,V52&gt;strike),('Cap Pricer'!V52-strike)*notional*((Volatilities_Resets!D47-Volatilities_Resets!C47)/360),IF(AND(strikeType=DataValidation!$C$3,V52&gt;W52),(V52-W52)*notional*((Volatilities_Resets!D47-Volatilities_Resets!C47)/360),0)))</f>
        <v/>
      </c>
      <c r="Y52" s="101" t="str">
        <f ca="1">IF(P52="","",(IF(X52&gt;0, ((VLOOKUP('Cap Pricer'!$P52,Calculator!$C$15:$T$98,18))*X52), 0)))</f>
        <v/>
      </c>
    </row>
    <row r="53" spans="16:25">
      <c r="P53" s="108" t="str">
        <f ca="1">IF($Q53="","",COUNT($Q$9:$Q53))</f>
        <v/>
      </c>
      <c r="Q53" s="111" t="str">
        <f ca="1">IF($Q52="","",IF($Q52&lt;EDATE(DataValidation!$I$13,$E$19-1),EDATE($Q52,1),""))</f>
        <v/>
      </c>
      <c r="R53" s="98"/>
      <c r="S53" s="173" t="str">
        <f ca="1">IF(Q53="","",(VLOOKUP($Q53,Calculator!$D$15:$L$98,9)+SUM(DataValidation!$I$16:$I$17)/$E$19))</f>
        <v/>
      </c>
      <c r="T53" s="113" t="str">
        <f t="shared" ca="1" si="1"/>
        <v/>
      </c>
      <c r="U53" s="116"/>
      <c r="V53" s="113" t="str">
        <f ca="1">IF(P53="","",'Vols - Forward Curve'!P46)</f>
        <v/>
      </c>
      <c r="W53" s="113" t="str">
        <f ca="1">IF(V53="","",IF(strikeType=DataValidation!$C$2,strike,IF(strikeType=DataValidation!$C$3,IF(ROWS($W$9:W53)&lt;=12,StepUp1,IF(ROWS($W$9:W53)&lt;=24,StepUp2,IF(ROWS($W$9:W53)&lt;=36,StepUp3,IF(ROWS($W$9:W53)&lt;=48,StepUp4,IF(ROWS($W$9:W53)&lt;=60,StepUp5,IF(ROWS($W$9:W53)&lt;=72,StepUp6,IF(ROWS($W$9:W53)&lt;=84,StepUp7,0))))))))))</f>
        <v/>
      </c>
      <c r="X53" s="101" t="str">
        <f ca="1">IF(V53="","",IF(AND(strikeType=DataValidation!$C$2,V53&gt;strike),('Cap Pricer'!V53-strike)*notional*((Volatilities_Resets!D48-Volatilities_Resets!C48)/360),IF(AND(strikeType=DataValidation!$C$3,V53&gt;W53),(V53-W53)*notional*((Volatilities_Resets!D48-Volatilities_Resets!C48)/360),0)))</f>
        <v/>
      </c>
      <c r="Y53" s="101" t="str">
        <f ca="1">IF(P53="","",(IF(X53&gt;0, ((VLOOKUP('Cap Pricer'!$P53,Calculator!$C$15:$T$98,18))*X53), 0)))</f>
        <v/>
      </c>
    </row>
    <row r="54" spans="16:25">
      <c r="P54" s="108" t="str">
        <f ca="1">IF($Q54="","",COUNT($Q$9:$Q54))</f>
        <v/>
      </c>
      <c r="Q54" s="111" t="str">
        <f ca="1">IF($Q53="","",IF($Q53&lt;EDATE(DataValidation!$I$13,$E$19-1),EDATE($Q53,1),""))</f>
        <v/>
      </c>
      <c r="R54" s="98"/>
      <c r="S54" s="173" t="str">
        <f ca="1">IF(Q54="","",(VLOOKUP($Q54,Calculator!$D$15:$L$98,9)+SUM(DataValidation!$I$16:$I$17)/$E$19))</f>
        <v/>
      </c>
      <c r="T54" s="113" t="str">
        <f t="shared" ca="1" si="1"/>
        <v/>
      </c>
      <c r="U54" s="116"/>
      <c r="V54" s="113" t="str">
        <f ca="1">IF(P54="","",'Vols - Forward Curve'!P47)</f>
        <v/>
      </c>
      <c r="W54" s="113" t="str">
        <f ca="1">IF(V54="","",IF(strikeType=DataValidation!$C$2,strike,IF(strikeType=DataValidation!$C$3,IF(ROWS($W$9:W54)&lt;=12,StepUp1,IF(ROWS($W$9:W54)&lt;=24,StepUp2,IF(ROWS($W$9:W54)&lt;=36,StepUp3,IF(ROWS($W$9:W54)&lt;=48,StepUp4,IF(ROWS($W$9:W54)&lt;=60,StepUp5,IF(ROWS($W$9:W54)&lt;=72,StepUp6,IF(ROWS($W$9:W54)&lt;=84,StepUp7,0))))))))))</f>
        <v/>
      </c>
      <c r="X54" s="101" t="str">
        <f ca="1">IF(V54="","",IF(AND(strikeType=DataValidation!$C$2,V54&gt;strike),('Cap Pricer'!V54-strike)*notional*((Volatilities_Resets!D49-Volatilities_Resets!C49)/360),IF(AND(strikeType=DataValidation!$C$3,V54&gt;W54),(V54-W54)*notional*((Volatilities_Resets!D49-Volatilities_Resets!C49)/360),0)))</f>
        <v/>
      </c>
      <c r="Y54" s="101" t="str">
        <f ca="1">IF(P54="","",(IF(X54&gt;0, ((VLOOKUP('Cap Pricer'!$P54,Calculator!$C$15:$T$98,18))*X54), 0)))</f>
        <v/>
      </c>
    </row>
    <row r="55" spans="16:25">
      <c r="P55" s="108" t="str">
        <f ca="1">IF($Q55="","",COUNT($Q$9:$Q55))</f>
        <v/>
      </c>
      <c r="Q55" s="111" t="str">
        <f ca="1">IF($Q54="","",IF($Q54&lt;EDATE(DataValidation!$I$13,$E$19-1),EDATE($Q54,1),""))</f>
        <v/>
      </c>
      <c r="R55" s="98"/>
      <c r="S55" s="173" t="str">
        <f ca="1">IF(Q55="","",(VLOOKUP($Q55,Calculator!$D$15:$L$98,9)+SUM(DataValidation!$I$16:$I$17)/$E$19))</f>
        <v/>
      </c>
      <c r="T55" s="113" t="str">
        <f t="shared" ca="1" si="1"/>
        <v/>
      </c>
      <c r="U55" s="116"/>
      <c r="V55" s="113" t="str">
        <f ca="1">IF(P55="","",'Vols - Forward Curve'!P48)</f>
        <v/>
      </c>
      <c r="W55" s="113" t="str">
        <f ca="1">IF(V55="","",IF(strikeType=DataValidation!$C$2,strike,IF(strikeType=DataValidation!$C$3,IF(ROWS($W$9:W55)&lt;=12,StepUp1,IF(ROWS($W$9:W55)&lt;=24,StepUp2,IF(ROWS($W$9:W55)&lt;=36,StepUp3,IF(ROWS($W$9:W55)&lt;=48,StepUp4,IF(ROWS($W$9:W55)&lt;=60,StepUp5,IF(ROWS($W$9:W55)&lt;=72,StepUp6,IF(ROWS($W$9:W55)&lt;=84,StepUp7,0))))))))))</f>
        <v/>
      </c>
      <c r="X55" s="101" t="str">
        <f ca="1">IF(V55="","",IF(AND(strikeType=DataValidation!$C$2,V55&gt;strike),('Cap Pricer'!V55-strike)*notional*((Volatilities_Resets!D50-Volatilities_Resets!C50)/360),IF(AND(strikeType=DataValidation!$C$3,V55&gt;W55),(V55-W55)*notional*((Volatilities_Resets!D50-Volatilities_Resets!C50)/360),0)))</f>
        <v/>
      </c>
      <c r="Y55" s="101" t="str">
        <f ca="1">IF(P55="","",(IF(X55&gt;0, ((VLOOKUP('Cap Pricer'!$P55,Calculator!$C$15:$T$98,18))*X55), 0)))</f>
        <v/>
      </c>
    </row>
    <row r="56" spans="16:25">
      <c r="P56" s="108" t="str">
        <f ca="1">IF($Q56="","",COUNT($Q$9:$Q56))</f>
        <v/>
      </c>
      <c r="Q56" s="111" t="str">
        <f ca="1">IF($Q55="","",IF($Q55&lt;EDATE(DataValidation!$I$13,$E$19-1),EDATE($Q55,1),""))</f>
        <v/>
      </c>
      <c r="R56" s="98"/>
      <c r="S56" s="173" t="str">
        <f ca="1">IF(Q56="","",(VLOOKUP($Q56,Calculator!$D$15:$L$98,9)+SUM(DataValidation!$I$16:$I$17)/$E$19))</f>
        <v/>
      </c>
      <c r="T56" s="113" t="str">
        <f t="shared" ca="1" si="1"/>
        <v/>
      </c>
      <c r="U56" s="116"/>
      <c r="V56" s="113" t="str">
        <f ca="1">IF(P56="","",'Vols - Forward Curve'!P49)</f>
        <v/>
      </c>
      <c r="W56" s="113" t="str">
        <f ca="1">IF(V56="","",IF(strikeType=DataValidation!$C$2,strike,IF(strikeType=DataValidation!$C$3,IF(ROWS($W$9:W56)&lt;=12,StepUp1,IF(ROWS($W$9:W56)&lt;=24,StepUp2,IF(ROWS($W$9:W56)&lt;=36,StepUp3,IF(ROWS($W$9:W56)&lt;=48,StepUp4,IF(ROWS($W$9:W56)&lt;=60,StepUp5,IF(ROWS($W$9:W56)&lt;=72,StepUp6,IF(ROWS($W$9:W56)&lt;=84,StepUp7,0))))))))))</f>
        <v/>
      </c>
      <c r="X56" s="101" t="str">
        <f ca="1">IF(V56="","",IF(AND(strikeType=DataValidation!$C$2,V56&gt;strike),('Cap Pricer'!V56-strike)*notional*((Volatilities_Resets!D51-Volatilities_Resets!C51)/360),IF(AND(strikeType=DataValidation!$C$3,V56&gt;W56),(V56-W56)*notional*((Volatilities_Resets!D51-Volatilities_Resets!C51)/360),0)))</f>
        <v/>
      </c>
      <c r="Y56" s="101" t="str">
        <f ca="1">IF(P56="","",(IF(X56&gt;0, ((VLOOKUP('Cap Pricer'!$P56,Calculator!$C$15:$T$98,18))*X56), 0)))</f>
        <v/>
      </c>
    </row>
    <row r="57" spans="16:25">
      <c r="P57" s="108" t="str">
        <f ca="1">IF($Q57="","",COUNT($Q$9:$Q57))</f>
        <v/>
      </c>
      <c r="Q57" s="111" t="str">
        <f ca="1">IF($Q56="","",IF($Q56&lt;EDATE(DataValidation!$I$13,$E$19-1),EDATE($Q56,1),""))</f>
        <v/>
      </c>
      <c r="R57" s="98"/>
      <c r="S57" s="173" t="str">
        <f ca="1">IF(Q57="","",(VLOOKUP($Q57,Calculator!$D$15:$L$98,9)+SUM(DataValidation!$I$16:$I$17)/$E$19))</f>
        <v/>
      </c>
      <c r="T57" s="113" t="str">
        <f t="shared" ca="1" si="1"/>
        <v/>
      </c>
      <c r="U57" s="116"/>
      <c r="V57" s="113" t="str">
        <f ca="1">IF(P57="","",'Vols - Forward Curve'!P50)</f>
        <v/>
      </c>
      <c r="W57" s="113" t="str">
        <f ca="1">IF(V57="","",IF(strikeType=DataValidation!$C$2,strike,IF(strikeType=DataValidation!$C$3,IF(ROWS($W$9:W57)&lt;=12,StepUp1,IF(ROWS($W$9:W57)&lt;=24,StepUp2,IF(ROWS($W$9:W57)&lt;=36,StepUp3,IF(ROWS($W$9:W57)&lt;=48,StepUp4,IF(ROWS($W$9:W57)&lt;=60,StepUp5,IF(ROWS($W$9:W57)&lt;=72,StepUp6,IF(ROWS($W$9:W57)&lt;=84,StepUp7,0))))))))))</f>
        <v/>
      </c>
      <c r="X57" s="101" t="str">
        <f ca="1">IF(V57="","",IF(AND(strikeType=DataValidation!$C$2,V57&gt;strike),('Cap Pricer'!V57-strike)*notional*((Volatilities_Resets!D52-Volatilities_Resets!C52)/360),IF(AND(strikeType=DataValidation!$C$3,V57&gt;W57),(V57-W57)*notional*((Volatilities_Resets!D52-Volatilities_Resets!C52)/360),0)))</f>
        <v/>
      </c>
      <c r="Y57" s="101" t="str">
        <f ca="1">IF(P57="","",(IF(X57&gt;0, ((VLOOKUP('Cap Pricer'!$P57,Calculator!$C$15:$T$98,18))*X57), 0)))</f>
        <v/>
      </c>
    </row>
    <row r="58" spans="16:25">
      <c r="P58" s="108" t="str">
        <f ca="1">IF($Q58="","",COUNT($Q$9:$Q58))</f>
        <v/>
      </c>
      <c r="Q58" s="111" t="str">
        <f ca="1">IF($Q57="","",IF($Q57&lt;EDATE(DataValidation!$I$13,$E$19-1),EDATE($Q57,1),""))</f>
        <v/>
      </c>
      <c r="R58" s="98"/>
      <c r="S58" s="173" t="str">
        <f ca="1">IF(Q58="","",(VLOOKUP($Q58,Calculator!$D$15:$L$98,9)+SUM(DataValidation!$I$16:$I$17)/$E$19))</f>
        <v/>
      </c>
      <c r="T58" s="113" t="str">
        <f t="shared" ca="1" si="1"/>
        <v/>
      </c>
      <c r="U58" s="116"/>
      <c r="V58" s="113" t="str">
        <f ca="1">IF(P58="","",'Vols - Forward Curve'!P51)</f>
        <v/>
      </c>
      <c r="W58" s="113" t="str">
        <f ca="1">IF(V58="","",IF(strikeType=DataValidation!$C$2,strike,IF(strikeType=DataValidation!$C$3,IF(ROWS($W$9:W58)&lt;=12,StepUp1,IF(ROWS($W$9:W58)&lt;=24,StepUp2,IF(ROWS($W$9:W58)&lt;=36,StepUp3,IF(ROWS($W$9:W58)&lt;=48,StepUp4,IF(ROWS($W$9:W58)&lt;=60,StepUp5,IF(ROWS($W$9:W58)&lt;=72,StepUp6,IF(ROWS($W$9:W58)&lt;=84,StepUp7,0))))))))))</f>
        <v/>
      </c>
      <c r="X58" s="101" t="str">
        <f ca="1">IF(V58="","",IF(AND(strikeType=DataValidation!$C$2,V58&gt;strike),('Cap Pricer'!V58-strike)*notional*((Volatilities_Resets!D53-Volatilities_Resets!C53)/360),IF(AND(strikeType=DataValidation!$C$3,V58&gt;W58),(V58-W58)*notional*((Volatilities_Resets!D53-Volatilities_Resets!C53)/360),0)))</f>
        <v/>
      </c>
      <c r="Y58" s="101" t="str">
        <f ca="1">IF(P58="","",(IF(X58&gt;0, ((VLOOKUP('Cap Pricer'!$P58,Calculator!$C$15:$T$98,18))*X58), 0)))</f>
        <v/>
      </c>
    </row>
    <row r="59" spans="16:25">
      <c r="P59" s="108" t="str">
        <f ca="1">IF($Q59="","",COUNT($Q$9:$Q59))</f>
        <v/>
      </c>
      <c r="Q59" s="111" t="str">
        <f ca="1">IF($Q58="","",IF($Q58&lt;EDATE(DataValidation!$I$13,$E$19-1),EDATE($Q58,1),""))</f>
        <v/>
      </c>
      <c r="R59" s="98"/>
      <c r="S59" s="173" t="str">
        <f ca="1">IF(Q59="","",(VLOOKUP($Q59,Calculator!$D$15:$L$98,9)+SUM(DataValidation!$I$16:$I$17)/$E$19))</f>
        <v/>
      </c>
      <c r="T59" s="113" t="str">
        <f t="shared" ca="1" si="1"/>
        <v/>
      </c>
      <c r="U59" s="116"/>
      <c r="V59" s="113" t="str">
        <f ca="1">IF(P59="","",'Vols - Forward Curve'!P52)</f>
        <v/>
      </c>
      <c r="W59" s="113" t="str">
        <f ca="1">IF(V59="","",IF(strikeType=DataValidation!$C$2,strike,IF(strikeType=DataValidation!$C$3,IF(ROWS($W$9:W59)&lt;=12,StepUp1,IF(ROWS($W$9:W59)&lt;=24,StepUp2,IF(ROWS($W$9:W59)&lt;=36,StepUp3,IF(ROWS($W$9:W59)&lt;=48,StepUp4,IF(ROWS($W$9:W59)&lt;=60,StepUp5,IF(ROWS($W$9:W59)&lt;=72,StepUp6,IF(ROWS($W$9:W59)&lt;=84,StepUp7,0))))))))))</f>
        <v/>
      </c>
      <c r="X59" s="101" t="str">
        <f ca="1">IF(V59="","",IF(AND(strikeType=DataValidation!$C$2,V59&gt;strike),('Cap Pricer'!V59-strike)*notional*((Volatilities_Resets!D54-Volatilities_Resets!C54)/360),IF(AND(strikeType=DataValidation!$C$3,V59&gt;W59),(V59-W59)*notional*((Volatilities_Resets!D54-Volatilities_Resets!C54)/360),0)))</f>
        <v/>
      </c>
      <c r="Y59" s="101" t="str">
        <f ca="1">IF(P59="","",(IF(X59&gt;0, ((VLOOKUP('Cap Pricer'!$P59,Calculator!$C$15:$T$98,18))*X59), 0)))</f>
        <v/>
      </c>
    </row>
    <row r="60" spans="16:25">
      <c r="P60" s="108" t="str">
        <f ca="1">IF($Q60="","",COUNT($Q$9:$Q60))</f>
        <v/>
      </c>
      <c r="Q60" s="111" t="str">
        <f ca="1">IF($Q59="","",IF($Q59&lt;EDATE(DataValidation!$I$13,$E$19-1),EDATE($Q59,1),""))</f>
        <v/>
      </c>
      <c r="R60" s="98"/>
      <c r="S60" s="173" t="str">
        <f ca="1">IF(Q60="","",(VLOOKUP($Q60,Calculator!$D$15:$L$98,9)+SUM(DataValidation!$I$16:$I$17)/$E$19))</f>
        <v/>
      </c>
      <c r="T60" s="113" t="str">
        <f t="shared" ca="1" si="1"/>
        <v/>
      </c>
      <c r="U60" s="116"/>
      <c r="V60" s="113" t="str">
        <f ca="1">IF(P60="","",'Vols - Forward Curve'!P53)</f>
        <v/>
      </c>
      <c r="W60" s="113" t="str">
        <f ca="1">IF(V60="","",IF(strikeType=DataValidation!$C$2,strike,IF(strikeType=DataValidation!$C$3,IF(ROWS($W$9:W60)&lt;=12,StepUp1,IF(ROWS($W$9:W60)&lt;=24,StepUp2,IF(ROWS($W$9:W60)&lt;=36,StepUp3,IF(ROWS($W$9:W60)&lt;=48,StepUp4,IF(ROWS($W$9:W60)&lt;=60,StepUp5,IF(ROWS($W$9:W60)&lt;=72,StepUp6,IF(ROWS($W$9:W60)&lt;=84,StepUp7,0))))))))))</f>
        <v/>
      </c>
      <c r="X60" s="101" t="str">
        <f ca="1">IF(V60="","",IF(AND(strikeType=DataValidation!$C$2,V60&gt;strike),('Cap Pricer'!V60-strike)*notional*((Volatilities_Resets!D55-Volatilities_Resets!C55)/360),IF(AND(strikeType=DataValidation!$C$3,V60&gt;W60),(V60-W60)*notional*((Volatilities_Resets!D55-Volatilities_Resets!C55)/360),0)))</f>
        <v/>
      </c>
      <c r="Y60" s="101" t="str">
        <f ca="1">IF(P60="","",(IF(X60&gt;0, ((VLOOKUP('Cap Pricer'!$P60,Calculator!$C$15:$T$98,18))*X60), 0)))</f>
        <v/>
      </c>
    </row>
    <row r="61" spans="16:25">
      <c r="P61" s="108" t="str">
        <f ca="1">IF($Q61="","",COUNT($Q$9:$Q61))</f>
        <v/>
      </c>
      <c r="Q61" s="111" t="str">
        <f ca="1">IF($Q60="","",IF($Q60&lt;EDATE(DataValidation!$I$13,$E$19-1),EDATE($Q60,1),""))</f>
        <v/>
      </c>
      <c r="R61" s="98"/>
      <c r="S61" s="173" t="str">
        <f ca="1">IF(Q61="","",(VLOOKUP($Q61,Calculator!$D$15:$L$98,9)+SUM(DataValidation!$I$16:$I$17)/$E$19))</f>
        <v/>
      </c>
      <c r="T61" s="113" t="str">
        <f t="shared" ca="1" si="1"/>
        <v/>
      </c>
      <c r="U61" s="116"/>
      <c r="V61" s="113" t="str">
        <f ca="1">IF(P61="","",'Vols - Forward Curve'!P54)</f>
        <v/>
      </c>
      <c r="W61" s="113" t="str">
        <f ca="1">IF(V61="","",IF(strikeType=DataValidation!$C$2,strike,IF(strikeType=DataValidation!$C$3,IF(ROWS($W$9:W61)&lt;=12,StepUp1,IF(ROWS($W$9:W61)&lt;=24,StepUp2,IF(ROWS($W$9:W61)&lt;=36,StepUp3,IF(ROWS($W$9:W61)&lt;=48,StepUp4,IF(ROWS($W$9:W61)&lt;=60,StepUp5,IF(ROWS($W$9:W61)&lt;=72,StepUp6,IF(ROWS($W$9:W61)&lt;=84,StepUp7,0))))))))))</f>
        <v/>
      </c>
      <c r="X61" s="101" t="str">
        <f ca="1">IF(V61="","",IF(AND(strikeType=DataValidation!$C$2,V61&gt;strike),('Cap Pricer'!V61-strike)*notional*((Volatilities_Resets!D56-Volatilities_Resets!C56)/360),IF(AND(strikeType=DataValidation!$C$3,V61&gt;W61),(V61-W61)*notional*((Volatilities_Resets!D56-Volatilities_Resets!C56)/360),0)))</f>
        <v/>
      </c>
      <c r="Y61" s="101" t="str">
        <f ca="1">IF(P61="","",(IF(X61&gt;0, ((VLOOKUP('Cap Pricer'!$P61,Calculator!$C$15:$T$98,18))*X61), 0)))</f>
        <v/>
      </c>
    </row>
    <row r="62" spans="16:25">
      <c r="P62" s="108" t="str">
        <f ca="1">IF($Q62="","",COUNT($Q$9:$Q62))</f>
        <v/>
      </c>
      <c r="Q62" s="111" t="str">
        <f ca="1">IF($Q61="","",IF($Q61&lt;EDATE(DataValidation!$I$13,$E$19-1),EDATE($Q61,1),""))</f>
        <v/>
      </c>
      <c r="R62" s="98"/>
      <c r="S62" s="173" t="str">
        <f ca="1">IF(Q62="","",(VLOOKUP($Q62,Calculator!$D$15:$L$98,9)+SUM(DataValidation!$I$16:$I$17)/$E$19))</f>
        <v/>
      </c>
      <c r="T62" s="113" t="str">
        <f t="shared" ca="1" si="1"/>
        <v/>
      </c>
      <c r="U62" s="116"/>
      <c r="V62" s="113" t="str">
        <f ca="1">IF(P62="","",'Vols - Forward Curve'!P55)</f>
        <v/>
      </c>
      <c r="W62" s="113" t="str">
        <f ca="1">IF(V62="","",IF(strikeType=DataValidation!$C$2,strike,IF(strikeType=DataValidation!$C$3,IF(ROWS($W$9:W62)&lt;=12,StepUp1,IF(ROWS($W$9:W62)&lt;=24,StepUp2,IF(ROWS($W$9:W62)&lt;=36,StepUp3,IF(ROWS($W$9:W62)&lt;=48,StepUp4,IF(ROWS($W$9:W62)&lt;=60,StepUp5,IF(ROWS($W$9:W62)&lt;=72,StepUp6,IF(ROWS($W$9:W62)&lt;=84,StepUp7,0))))))))))</f>
        <v/>
      </c>
      <c r="X62" s="101" t="str">
        <f ca="1">IF(V62="","",IF(AND(strikeType=DataValidation!$C$2,V62&gt;strike),('Cap Pricer'!V62-strike)*notional*((Volatilities_Resets!D57-Volatilities_Resets!C57)/360),IF(AND(strikeType=DataValidation!$C$3,V62&gt;W62),(V62-W62)*notional*((Volatilities_Resets!D57-Volatilities_Resets!C57)/360),0)))</f>
        <v/>
      </c>
      <c r="Y62" s="101" t="str">
        <f ca="1">IF(P62="","",(IF(X62&gt;0, ((VLOOKUP('Cap Pricer'!$P62,Calculator!$C$15:$T$98,18))*X62), 0)))</f>
        <v/>
      </c>
    </row>
    <row r="63" spans="16:25">
      <c r="P63" s="108" t="str">
        <f ca="1">IF($Q63="","",COUNT($Q$9:$Q63))</f>
        <v/>
      </c>
      <c r="Q63" s="111" t="str">
        <f ca="1">IF($Q62="","",IF($Q62&lt;EDATE(DataValidation!$I$13,$E$19-1),EDATE($Q62,1),""))</f>
        <v/>
      </c>
      <c r="R63" s="98"/>
      <c r="S63" s="173" t="str">
        <f ca="1">IF(Q63="","",(VLOOKUP($Q63,Calculator!$D$15:$L$98,9)+SUM(DataValidation!$I$16:$I$17)/$E$19))</f>
        <v/>
      </c>
      <c r="T63" s="113" t="str">
        <f t="shared" ca="1" si="1"/>
        <v/>
      </c>
      <c r="U63" s="116"/>
      <c r="V63" s="113" t="str">
        <f ca="1">IF(P63="","",'Vols - Forward Curve'!P56)</f>
        <v/>
      </c>
      <c r="W63" s="113" t="str">
        <f ca="1">IF(V63="","",IF(strikeType=DataValidation!$C$2,strike,IF(strikeType=DataValidation!$C$3,IF(ROWS($W$9:W63)&lt;=12,StepUp1,IF(ROWS($W$9:W63)&lt;=24,StepUp2,IF(ROWS($W$9:W63)&lt;=36,StepUp3,IF(ROWS($W$9:W63)&lt;=48,StepUp4,IF(ROWS($W$9:W63)&lt;=60,StepUp5,IF(ROWS($W$9:W63)&lt;=72,StepUp6,IF(ROWS($W$9:W63)&lt;=84,StepUp7,0))))))))))</f>
        <v/>
      </c>
      <c r="X63" s="101" t="str">
        <f ca="1">IF(V63="","",IF(AND(strikeType=DataValidation!$C$2,V63&gt;strike),('Cap Pricer'!V63-strike)*notional*((Volatilities_Resets!D58-Volatilities_Resets!C58)/360),IF(AND(strikeType=DataValidation!$C$3,V63&gt;W63),(V63-W63)*notional*((Volatilities_Resets!D58-Volatilities_Resets!C58)/360),0)))</f>
        <v/>
      </c>
      <c r="Y63" s="101" t="str">
        <f ca="1">IF(P63="","",(IF(X63&gt;0, ((VLOOKUP('Cap Pricer'!$P63,Calculator!$C$15:$T$98,18))*X63), 0)))</f>
        <v/>
      </c>
    </row>
    <row r="64" spans="16:25">
      <c r="P64" s="108" t="str">
        <f ca="1">IF($Q64="","",COUNT($Q$9:$Q64))</f>
        <v/>
      </c>
      <c r="Q64" s="111" t="str">
        <f ca="1">IF($Q63="","",IF($Q63&lt;EDATE(DataValidation!$I$13,$E$19-1),EDATE($Q63,1),""))</f>
        <v/>
      </c>
      <c r="R64" s="98"/>
      <c r="S64" s="173" t="str">
        <f ca="1">IF(Q64="","",(VLOOKUP($Q64,Calculator!$D$15:$L$98,9)+SUM(DataValidation!$I$16:$I$17)/$E$19))</f>
        <v/>
      </c>
      <c r="T64" s="113" t="str">
        <f t="shared" ca="1" si="1"/>
        <v/>
      </c>
      <c r="U64" s="116"/>
      <c r="V64" s="113" t="str">
        <f ca="1">IF(P64="","",'Vols - Forward Curve'!P57)</f>
        <v/>
      </c>
      <c r="W64" s="113" t="str">
        <f ca="1">IF(V64="","",IF(strikeType=DataValidation!$C$2,strike,IF(strikeType=DataValidation!$C$3,IF(ROWS($W$9:W64)&lt;=12,StepUp1,IF(ROWS($W$9:W64)&lt;=24,StepUp2,IF(ROWS($W$9:W64)&lt;=36,StepUp3,IF(ROWS($W$9:W64)&lt;=48,StepUp4,IF(ROWS($W$9:W64)&lt;=60,StepUp5,IF(ROWS($W$9:W64)&lt;=72,StepUp6,IF(ROWS($W$9:W64)&lt;=84,StepUp7,0))))))))))</f>
        <v/>
      </c>
      <c r="X64" s="101" t="str">
        <f ca="1">IF(V64="","",IF(AND(strikeType=DataValidation!$C$2,V64&gt;strike),('Cap Pricer'!V64-strike)*notional*((Volatilities_Resets!D59-Volatilities_Resets!C59)/360),IF(AND(strikeType=DataValidation!$C$3,V64&gt;W64),(V64-W64)*notional*((Volatilities_Resets!D59-Volatilities_Resets!C59)/360),0)))</f>
        <v/>
      </c>
      <c r="Y64" s="101" t="str">
        <f ca="1">IF(P64="","",(IF(X64&gt;0, ((VLOOKUP('Cap Pricer'!$P64,Calculator!$C$15:$T$98,18))*X64), 0)))</f>
        <v/>
      </c>
    </row>
    <row r="65" spans="16:25">
      <c r="P65" s="108" t="str">
        <f ca="1">IF($Q65="","",COUNT($Q$9:$Q65))</f>
        <v/>
      </c>
      <c r="Q65" s="111" t="str">
        <f ca="1">IF($Q64="","",IF($Q64&lt;EDATE(DataValidation!$I$13,$E$19-1),EDATE($Q64,1),""))</f>
        <v/>
      </c>
      <c r="R65" s="98"/>
      <c r="S65" s="173" t="str">
        <f ca="1">IF(Q65="","",(VLOOKUP($Q65,Calculator!$D$15:$L$98,9)+SUM(DataValidation!$I$16:$I$17)/$E$19))</f>
        <v/>
      </c>
      <c r="T65" s="113" t="str">
        <f t="shared" ca="1" si="1"/>
        <v/>
      </c>
      <c r="U65" s="116"/>
      <c r="V65" s="113" t="str">
        <f ca="1">IF(P65="","",'Vols - Forward Curve'!P58)</f>
        <v/>
      </c>
      <c r="W65" s="113" t="str">
        <f ca="1">IF(V65="","",IF(strikeType=DataValidation!$C$2,strike,IF(strikeType=DataValidation!$C$3,IF(ROWS($W$9:W65)&lt;=12,StepUp1,IF(ROWS($W$9:W65)&lt;=24,StepUp2,IF(ROWS($W$9:W65)&lt;=36,StepUp3,IF(ROWS($W$9:W65)&lt;=48,StepUp4,IF(ROWS($W$9:W65)&lt;=60,StepUp5,IF(ROWS($W$9:W65)&lt;=72,StepUp6,IF(ROWS($W$9:W65)&lt;=84,StepUp7,0))))))))))</f>
        <v/>
      </c>
      <c r="X65" s="101" t="str">
        <f ca="1">IF(V65="","",IF(AND(strikeType=DataValidation!$C$2,V65&gt;strike),('Cap Pricer'!V65-strike)*notional*((Volatilities_Resets!D60-Volatilities_Resets!C60)/360),IF(AND(strikeType=DataValidation!$C$3,V65&gt;W65),(V65-W65)*notional*((Volatilities_Resets!D60-Volatilities_Resets!C60)/360),0)))</f>
        <v/>
      </c>
      <c r="Y65" s="101" t="str">
        <f ca="1">IF(P65="","",(IF(X65&gt;0, ((VLOOKUP('Cap Pricer'!$P65,Calculator!$C$15:$T$98,18))*X65), 0)))</f>
        <v/>
      </c>
    </row>
    <row r="66" spans="16:25">
      <c r="P66" s="108" t="str">
        <f ca="1">IF($Q66="","",COUNT($Q$9:$Q66))</f>
        <v/>
      </c>
      <c r="Q66" s="111" t="str">
        <f ca="1">IF($Q65="","",IF($Q65&lt;EDATE(DataValidation!$I$13,$E$19-1),EDATE($Q65,1),""))</f>
        <v/>
      </c>
      <c r="R66" s="98"/>
      <c r="S66" s="173" t="str">
        <f ca="1">IF(Q66="","",(VLOOKUP($Q66,Calculator!$D$15:$L$98,9)+SUM(DataValidation!$I$16:$I$17)/$E$19))</f>
        <v/>
      </c>
      <c r="T66" s="113" t="str">
        <f t="shared" ca="1" si="1"/>
        <v/>
      </c>
      <c r="U66" s="116"/>
      <c r="V66" s="113" t="str">
        <f ca="1">IF(P66="","",'Vols - Forward Curve'!P59)</f>
        <v/>
      </c>
      <c r="W66" s="113" t="str">
        <f ca="1">IF(V66="","",IF(strikeType=DataValidation!$C$2,strike,IF(strikeType=DataValidation!$C$3,IF(ROWS($W$9:W66)&lt;=12,StepUp1,IF(ROWS($W$9:W66)&lt;=24,StepUp2,IF(ROWS($W$9:W66)&lt;=36,StepUp3,IF(ROWS($W$9:W66)&lt;=48,StepUp4,IF(ROWS($W$9:W66)&lt;=60,StepUp5,IF(ROWS($W$9:W66)&lt;=72,StepUp6,IF(ROWS($W$9:W66)&lt;=84,StepUp7,0))))))))))</f>
        <v/>
      </c>
      <c r="X66" s="101" t="str">
        <f ca="1">IF(V66="","",IF(AND(strikeType=DataValidation!$C$2,V66&gt;strike),('Cap Pricer'!V66-strike)*notional*((Volatilities_Resets!D61-Volatilities_Resets!C61)/360),IF(AND(strikeType=DataValidation!$C$3,V66&gt;W66),(V66-W66)*notional*((Volatilities_Resets!D61-Volatilities_Resets!C61)/360),0)))</f>
        <v/>
      </c>
      <c r="Y66" s="101" t="str">
        <f ca="1">IF(P66="","",(IF(X66&gt;0, ((VLOOKUP('Cap Pricer'!$P66,Calculator!$C$15:$T$98,18))*X66), 0)))</f>
        <v/>
      </c>
    </row>
    <row r="67" spans="16:25">
      <c r="P67" s="108" t="str">
        <f ca="1">IF($Q67="","",COUNT($Q$9:$Q67))</f>
        <v/>
      </c>
      <c r="Q67" s="111" t="str">
        <f ca="1">IF($Q66="","",IF($Q66&lt;EDATE(DataValidation!$I$13,$E$19-1),EDATE($Q66,1),""))</f>
        <v/>
      </c>
      <c r="R67" s="98"/>
      <c r="S67" s="173" t="str">
        <f ca="1">IF(Q67="","",(VLOOKUP($Q67,Calculator!$D$15:$L$98,9)+SUM(DataValidation!$I$16:$I$17)/$E$19))</f>
        <v/>
      </c>
      <c r="T67" s="113" t="str">
        <f t="shared" ca="1" si="1"/>
        <v/>
      </c>
      <c r="U67" s="116"/>
      <c r="V67" s="113" t="str">
        <f ca="1">IF(P67="","",'Vols - Forward Curve'!P60)</f>
        <v/>
      </c>
      <c r="W67" s="113" t="str">
        <f ca="1">IF(V67="","",IF(strikeType=DataValidation!$C$2,strike,IF(strikeType=DataValidation!$C$3,IF(ROWS($W$9:W67)&lt;=12,StepUp1,IF(ROWS($W$9:W67)&lt;=24,StepUp2,IF(ROWS($W$9:W67)&lt;=36,StepUp3,IF(ROWS($W$9:W67)&lt;=48,StepUp4,IF(ROWS($W$9:W67)&lt;=60,StepUp5,IF(ROWS($W$9:W67)&lt;=72,StepUp6,IF(ROWS($W$9:W67)&lt;=84,StepUp7,0))))))))))</f>
        <v/>
      </c>
      <c r="X67" s="101" t="str">
        <f ca="1">IF(V67="","",IF(AND(strikeType=DataValidation!$C$2,V67&gt;strike),('Cap Pricer'!V67-strike)*notional*((Volatilities_Resets!D62-Volatilities_Resets!C62)/360),IF(AND(strikeType=DataValidation!$C$3,V67&gt;W67),(V67-W67)*notional*((Volatilities_Resets!D62-Volatilities_Resets!C62)/360),0)))</f>
        <v/>
      </c>
      <c r="Y67" s="101" t="str">
        <f ca="1">IF(P67="","",(IF(X67&gt;0, ((VLOOKUP('Cap Pricer'!$P67,Calculator!$C$15:$T$98,18))*X67), 0)))</f>
        <v/>
      </c>
    </row>
    <row r="68" spans="16:25">
      <c r="P68" s="108" t="str">
        <f ca="1">IF($Q68="","",COUNT($Q$9:$Q68))</f>
        <v/>
      </c>
      <c r="Q68" s="111" t="str">
        <f ca="1">IF($Q67="","",IF($Q67&lt;EDATE(DataValidation!$I$13,$E$19-1),EDATE($Q67,1),""))</f>
        <v/>
      </c>
      <c r="R68" s="98"/>
      <c r="S68" s="173" t="str">
        <f ca="1">IF(Q68="","",(VLOOKUP($Q68,Calculator!$D$15:$L$98,9)+SUM(DataValidation!$I$16:$I$17)/$E$19))</f>
        <v/>
      </c>
      <c r="T68" s="113" t="str">
        <f t="shared" ca="1" si="1"/>
        <v/>
      </c>
      <c r="U68" s="116"/>
      <c r="V68" s="113" t="str">
        <f ca="1">IF(P68="","",'Vols - Forward Curve'!P61)</f>
        <v/>
      </c>
      <c r="W68" s="113" t="str">
        <f ca="1">IF(V68="","",IF(strikeType=DataValidation!$C$2,strike,IF(strikeType=DataValidation!$C$3,IF(ROWS($W$9:W68)&lt;=12,StepUp1,IF(ROWS($W$9:W68)&lt;=24,StepUp2,IF(ROWS($W$9:W68)&lt;=36,StepUp3,IF(ROWS($W$9:W68)&lt;=48,StepUp4,IF(ROWS($W$9:W68)&lt;=60,StepUp5,IF(ROWS($W$9:W68)&lt;=72,StepUp6,IF(ROWS($W$9:W68)&lt;=84,StepUp7,0))))))))))</f>
        <v/>
      </c>
      <c r="X68" s="101" t="str">
        <f ca="1">IF(V68="","",IF(AND(strikeType=DataValidation!$C$2,V68&gt;strike),('Cap Pricer'!V68-strike)*notional*((Volatilities_Resets!D63-Volatilities_Resets!C63)/360),IF(AND(strikeType=DataValidation!$C$3,V68&gt;W68),(V68-W68)*notional*((Volatilities_Resets!D63-Volatilities_Resets!C63)/360),0)))</f>
        <v/>
      </c>
      <c r="Y68" s="101" t="str">
        <f ca="1">IF(P68="","",(IF(X68&gt;0, ((VLOOKUP('Cap Pricer'!$P68,Calculator!$C$15:$T$98,18))*X68), 0)))</f>
        <v/>
      </c>
    </row>
    <row r="69" spans="16:25">
      <c r="P69" s="108" t="str">
        <f ca="1">IF($Q69="","",COUNT($Q$9:$Q69))</f>
        <v/>
      </c>
      <c r="Q69" s="111" t="str">
        <f ca="1">IF($Q68="","",IF($Q68&lt;EDATE(DataValidation!$I$13,$E$19-1),EDATE($Q68,1),""))</f>
        <v/>
      </c>
      <c r="R69" s="98"/>
      <c r="S69" s="173" t="str">
        <f ca="1">IF(Q69="","",(VLOOKUP($Q69,Calculator!$D$15:$L$98,9)+SUM(DataValidation!$I$16:$I$17)/$E$19))</f>
        <v/>
      </c>
      <c r="T69" s="113" t="str">
        <f t="shared" ca="1" si="1"/>
        <v/>
      </c>
      <c r="U69" s="116"/>
      <c r="V69" s="113" t="str">
        <f ca="1">IF(P69="","",'Vols - Forward Curve'!P62)</f>
        <v/>
      </c>
      <c r="W69" s="113" t="str">
        <f ca="1">IF(V69="","",IF(strikeType=DataValidation!$C$2,strike,IF(strikeType=DataValidation!$C$3,IF(ROWS($W$9:W69)&lt;=12,StepUp1,IF(ROWS($W$9:W69)&lt;=24,StepUp2,IF(ROWS($W$9:W69)&lt;=36,StepUp3,IF(ROWS($W$9:W69)&lt;=48,StepUp4,IF(ROWS($W$9:W69)&lt;=60,StepUp5,IF(ROWS($W$9:W69)&lt;=72,StepUp6,IF(ROWS($W$9:W69)&lt;=84,StepUp7,0))))))))))</f>
        <v/>
      </c>
      <c r="X69" s="101" t="str">
        <f ca="1">IF(V69="","",IF(AND(strikeType=DataValidation!$C$2,V69&gt;strike),('Cap Pricer'!V69-strike)*notional*((Volatilities_Resets!D64-Volatilities_Resets!C64)/360),IF(AND(strikeType=DataValidation!$C$3,V69&gt;W69),(V69-W69)*notional*((Volatilities_Resets!D64-Volatilities_Resets!C64)/360),0)))</f>
        <v/>
      </c>
      <c r="Y69" s="101" t="str">
        <f ca="1">IF(P69="","",(IF(X69&gt;0, ((VLOOKUP('Cap Pricer'!$P69,Calculator!$C$15:$T$98,18))*X69), 0)))</f>
        <v/>
      </c>
    </row>
    <row r="70" spans="16:25">
      <c r="P70" s="108" t="str">
        <f ca="1">IF($Q70="","",COUNT($Q$9:$Q70))</f>
        <v/>
      </c>
      <c r="Q70" s="111" t="str">
        <f ca="1">IF($Q69="","",IF($Q69&lt;EDATE(DataValidation!$I$13,$E$19-1),EDATE($Q69,1),""))</f>
        <v/>
      </c>
      <c r="R70" s="98"/>
      <c r="S70" s="173" t="str">
        <f ca="1">IF(Q70="","",(VLOOKUP($Q70,Calculator!$D$15:$L$98,9)+SUM(DataValidation!$I$16:$I$17)/$E$19))</f>
        <v/>
      </c>
      <c r="T70" s="113" t="str">
        <f t="shared" ca="1" si="1"/>
        <v/>
      </c>
      <c r="U70" s="116"/>
      <c r="V70" s="113" t="str">
        <f ca="1">IF(P70="","",'Vols - Forward Curve'!P63)</f>
        <v/>
      </c>
      <c r="W70" s="113" t="str">
        <f ca="1">IF(V70="","",IF(strikeType=DataValidation!$C$2,strike,IF(strikeType=DataValidation!$C$3,IF(ROWS($W$9:W70)&lt;=12,StepUp1,IF(ROWS($W$9:W70)&lt;=24,StepUp2,IF(ROWS($W$9:W70)&lt;=36,StepUp3,IF(ROWS($W$9:W70)&lt;=48,StepUp4,IF(ROWS($W$9:W70)&lt;=60,StepUp5,IF(ROWS($W$9:W70)&lt;=72,StepUp6,IF(ROWS($W$9:W70)&lt;=84,StepUp7,0))))))))))</f>
        <v/>
      </c>
      <c r="X70" s="101" t="str">
        <f ca="1">IF(V70="","",IF(AND(strikeType=DataValidation!$C$2,V70&gt;strike),('Cap Pricer'!V70-strike)*notional*((Volatilities_Resets!D65-Volatilities_Resets!C65)/360),IF(AND(strikeType=DataValidation!$C$3,V70&gt;W70),(V70-W70)*notional*((Volatilities_Resets!D65-Volatilities_Resets!C65)/360),0)))</f>
        <v/>
      </c>
      <c r="Y70" s="101" t="str">
        <f ca="1">IF(P70="","",(IF(X70&gt;0, ((VLOOKUP('Cap Pricer'!$P70,Calculator!$C$15:$T$98,18))*X70), 0)))</f>
        <v/>
      </c>
    </row>
    <row r="71" spans="16:25">
      <c r="P71" s="108" t="str">
        <f ca="1">IF($Q71="","",COUNT($Q$9:$Q71))</f>
        <v/>
      </c>
      <c r="Q71" s="111" t="str">
        <f ca="1">IF($Q70="","",IF($Q70&lt;EDATE(DataValidation!$I$13,$E$19-1),EDATE($Q70,1),""))</f>
        <v/>
      </c>
      <c r="R71" s="98"/>
      <c r="S71" s="173" t="str">
        <f ca="1">IF(Q71="","",(VLOOKUP($Q71,Calculator!$D$15:$L$98,9)+SUM(DataValidation!$I$16:$I$17)/$E$19))</f>
        <v/>
      </c>
      <c r="T71" s="113" t="str">
        <f t="shared" ca="1" si="1"/>
        <v/>
      </c>
      <c r="U71" s="116"/>
      <c r="V71" s="113" t="str">
        <f ca="1">IF(P71="","",'Vols - Forward Curve'!P64)</f>
        <v/>
      </c>
      <c r="W71" s="113" t="str">
        <f ca="1">IF(V71="","",IF(strikeType=DataValidation!$C$2,strike,IF(strikeType=DataValidation!$C$3,IF(ROWS($W$9:W71)&lt;=12,StepUp1,IF(ROWS($W$9:W71)&lt;=24,StepUp2,IF(ROWS($W$9:W71)&lt;=36,StepUp3,IF(ROWS($W$9:W71)&lt;=48,StepUp4,IF(ROWS($W$9:W71)&lt;=60,StepUp5,IF(ROWS($W$9:W71)&lt;=72,StepUp6,IF(ROWS($W$9:W71)&lt;=84,StepUp7,0))))))))))</f>
        <v/>
      </c>
      <c r="X71" s="101" t="str">
        <f ca="1">IF(V71="","",IF(AND(strikeType=DataValidation!$C$2,V71&gt;strike),('Cap Pricer'!V71-strike)*notional*((Volatilities_Resets!D66-Volatilities_Resets!C66)/360),IF(AND(strikeType=DataValidation!$C$3,V71&gt;W71),(V71-W71)*notional*((Volatilities_Resets!D66-Volatilities_Resets!C66)/360),0)))</f>
        <v/>
      </c>
      <c r="Y71" s="101" t="str">
        <f ca="1">IF(P71="","",(IF(X71&gt;0, ((VLOOKUP('Cap Pricer'!$P71,Calculator!$C$15:$T$98,18))*X71), 0)))</f>
        <v/>
      </c>
    </row>
    <row r="72" spans="16:25">
      <c r="P72" s="108" t="str">
        <f ca="1">IF($Q72="","",COUNT($Q$9:$Q72))</f>
        <v/>
      </c>
      <c r="Q72" s="111" t="str">
        <f ca="1">IF($Q71="","",IF($Q71&lt;EDATE(DataValidation!$I$13,$E$19-1),EDATE($Q71,1),""))</f>
        <v/>
      </c>
      <c r="R72" s="98"/>
      <c r="S72" s="173" t="str">
        <f ca="1">IF(Q72="","",(VLOOKUP($Q72,Calculator!$D$15:$L$98,9)+SUM(DataValidation!$I$16:$I$17)/$E$19))</f>
        <v/>
      </c>
      <c r="T72" s="113" t="str">
        <f t="shared" ca="1" si="1"/>
        <v/>
      </c>
      <c r="U72" s="116"/>
      <c r="V72" s="113" t="str">
        <f ca="1">IF(P72="","",'Vols - Forward Curve'!P65)</f>
        <v/>
      </c>
      <c r="W72" s="113" t="str">
        <f ca="1">IF(V72="","",IF(strikeType=DataValidation!$C$2,strike,IF(strikeType=DataValidation!$C$3,IF(ROWS($W$9:W72)&lt;=12,StepUp1,IF(ROWS($W$9:W72)&lt;=24,StepUp2,IF(ROWS($W$9:W72)&lt;=36,StepUp3,IF(ROWS($W$9:W72)&lt;=48,StepUp4,IF(ROWS($W$9:W72)&lt;=60,StepUp5,IF(ROWS($W$9:W72)&lt;=72,StepUp6,IF(ROWS($W$9:W72)&lt;=84,StepUp7,0))))))))))</f>
        <v/>
      </c>
      <c r="X72" s="101" t="str">
        <f ca="1">IF(V72="","",IF(AND(strikeType=DataValidation!$C$2,V72&gt;strike),('Cap Pricer'!V72-strike)*notional*((Volatilities_Resets!D67-Volatilities_Resets!C67)/360),IF(AND(strikeType=DataValidation!$C$3,V72&gt;W72),(V72-W72)*notional*((Volatilities_Resets!D67-Volatilities_Resets!C67)/360),0)))</f>
        <v/>
      </c>
      <c r="Y72" s="101" t="str">
        <f ca="1">IF(P72="","",(IF(X72&gt;0, ((VLOOKUP('Cap Pricer'!$P72,Calculator!$C$15:$T$98,18))*X72), 0)))</f>
        <v/>
      </c>
    </row>
    <row r="73" spans="16:25">
      <c r="P73" s="108" t="str">
        <f ca="1">IF($Q73="","",COUNT($Q$9:$Q73))</f>
        <v/>
      </c>
      <c r="Q73" s="111" t="str">
        <f ca="1">IF($Q72="","",IF($Q72&lt;EDATE(DataValidation!$I$13,$E$19-1),EDATE($Q72,1),""))</f>
        <v/>
      </c>
      <c r="R73" s="98"/>
      <c r="S73" s="173" t="str">
        <f ca="1">IF(Q73="","",(VLOOKUP($Q73,Calculator!$D$15:$L$98,9)+SUM(DataValidation!$I$16:$I$17)/$E$19))</f>
        <v/>
      </c>
      <c r="T73" s="113" t="str">
        <f t="shared" ref="T73:T92" ca="1" si="2">IF(Q73="","",$S73/SUM($S$9:$S$92))</f>
        <v/>
      </c>
      <c r="U73" s="116"/>
      <c r="V73" s="113" t="str">
        <f ca="1">IF(P73="","",'Vols - Forward Curve'!P66)</f>
        <v/>
      </c>
      <c r="W73" s="113" t="str">
        <f ca="1">IF(V73="","",IF(strikeType=DataValidation!$C$2,strike,IF(strikeType=DataValidation!$C$3,IF(ROWS($W$9:W73)&lt;=12,StepUp1,IF(ROWS($W$9:W73)&lt;=24,StepUp2,IF(ROWS($W$9:W73)&lt;=36,StepUp3,IF(ROWS($W$9:W73)&lt;=48,StepUp4,IF(ROWS($W$9:W73)&lt;=60,StepUp5,IF(ROWS($W$9:W73)&lt;=72,StepUp6,IF(ROWS($W$9:W73)&lt;=84,StepUp7,0))))))))))</f>
        <v/>
      </c>
      <c r="X73" s="101" t="str">
        <f ca="1">IF(V73="","",IF(AND(strikeType=DataValidation!$C$2,V73&gt;strike),('Cap Pricer'!V73-strike)*notional*((Volatilities_Resets!D68-Volatilities_Resets!C68)/360),IF(AND(strikeType=DataValidation!$C$3,V73&gt;W73),(V73-W73)*notional*((Volatilities_Resets!D68-Volatilities_Resets!C68)/360),0)))</f>
        <v/>
      </c>
      <c r="Y73" s="101" t="str">
        <f ca="1">IF(P73="","",(IF(X73&gt;0, ((VLOOKUP('Cap Pricer'!$P73,Calculator!$C$15:$T$98,18))*X73), 0)))</f>
        <v/>
      </c>
    </row>
    <row r="74" spans="16:25">
      <c r="P74" s="108" t="str">
        <f ca="1">IF($Q74="","",COUNT($Q$9:$Q74))</f>
        <v/>
      </c>
      <c r="Q74" s="111" t="str">
        <f ca="1">IF($Q73="","",IF($Q73&lt;EDATE(DataValidation!$I$13,$E$19-1),EDATE($Q73,1),""))</f>
        <v/>
      </c>
      <c r="R74" s="98"/>
      <c r="S74" s="173" t="str">
        <f ca="1">IF(Q74="","",(VLOOKUP($Q74,Calculator!$D$15:$L$98,9)+SUM(DataValidation!$I$16:$I$17)/$E$19))</f>
        <v/>
      </c>
      <c r="T74" s="113" t="str">
        <f t="shared" ca="1" si="2"/>
        <v/>
      </c>
      <c r="U74" s="116"/>
      <c r="V74" s="113" t="str">
        <f ca="1">IF(P74="","",'Vols - Forward Curve'!P67)</f>
        <v/>
      </c>
      <c r="W74" s="113" t="str">
        <f ca="1">IF(V74="","",IF(strikeType=DataValidation!$C$2,strike,IF(strikeType=DataValidation!$C$3,IF(ROWS($W$9:W74)&lt;=12,StepUp1,IF(ROWS($W$9:W74)&lt;=24,StepUp2,IF(ROWS($W$9:W74)&lt;=36,StepUp3,IF(ROWS($W$9:W74)&lt;=48,StepUp4,IF(ROWS($W$9:W74)&lt;=60,StepUp5,IF(ROWS($W$9:W74)&lt;=72,StepUp6,IF(ROWS($W$9:W74)&lt;=84,StepUp7,0))))))))))</f>
        <v/>
      </c>
      <c r="X74" s="101" t="str">
        <f ca="1">IF(V74="","",IF(AND(strikeType=DataValidation!$C$2,V74&gt;strike),('Cap Pricer'!V74-strike)*notional*((Volatilities_Resets!D69-Volatilities_Resets!C69)/360),IF(AND(strikeType=DataValidation!$C$3,V74&gt;W74),(V74-W74)*notional*((Volatilities_Resets!D69-Volatilities_Resets!C69)/360),0)))</f>
        <v/>
      </c>
      <c r="Y74" s="101" t="str">
        <f ca="1">IF(P74="","",(IF(X74&gt;0, ((VLOOKUP('Cap Pricer'!$P74,Calculator!$C$15:$T$98,18))*X74), 0)))</f>
        <v/>
      </c>
    </row>
    <row r="75" spans="16:25">
      <c r="P75" s="108" t="str">
        <f ca="1">IF($Q75="","",COUNT($Q$9:$Q75))</f>
        <v/>
      </c>
      <c r="Q75" s="111" t="str">
        <f ca="1">IF($Q74="","",IF($Q74&lt;EDATE(DataValidation!$I$13,$E$19-1),EDATE($Q74,1),""))</f>
        <v/>
      </c>
      <c r="R75" s="98"/>
      <c r="S75" s="173" t="str">
        <f ca="1">IF(Q75="","",(VLOOKUP($Q75,Calculator!$D$15:$L$98,9)+SUM(DataValidation!$I$16:$I$17)/$E$19))</f>
        <v/>
      </c>
      <c r="T75" s="113" t="str">
        <f t="shared" ca="1" si="2"/>
        <v/>
      </c>
      <c r="U75" s="116"/>
      <c r="V75" s="113" t="str">
        <f ca="1">IF(P75="","",'Vols - Forward Curve'!P68)</f>
        <v/>
      </c>
      <c r="W75" s="113" t="str">
        <f ca="1">IF(V75="","",IF(strikeType=DataValidation!$C$2,strike,IF(strikeType=DataValidation!$C$3,IF(ROWS($W$9:W75)&lt;=12,StepUp1,IF(ROWS($W$9:W75)&lt;=24,StepUp2,IF(ROWS($W$9:W75)&lt;=36,StepUp3,IF(ROWS($W$9:W75)&lt;=48,StepUp4,IF(ROWS($W$9:W75)&lt;=60,StepUp5,IF(ROWS($W$9:W75)&lt;=72,StepUp6,IF(ROWS($W$9:W75)&lt;=84,StepUp7,0))))))))))</f>
        <v/>
      </c>
      <c r="X75" s="101" t="str">
        <f ca="1">IF(V75="","",IF(AND(strikeType=DataValidation!$C$2,V75&gt;strike),('Cap Pricer'!V75-strike)*notional*((Volatilities_Resets!D70-Volatilities_Resets!C70)/360),IF(AND(strikeType=DataValidation!$C$3,V75&gt;W75),(V75-W75)*notional*((Volatilities_Resets!D70-Volatilities_Resets!C70)/360),0)))</f>
        <v/>
      </c>
      <c r="Y75" s="101" t="str">
        <f ca="1">IF(P75="","",(IF(X75&gt;0, ((VLOOKUP('Cap Pricer'!$P75,Calculator!$C$15:$T$98,18))*X75), 0)))</f>
        <v/>
      </c>
    </row>
    <row r="76" spans="16:25">
      <c r="P76" s="108" t="str">
        <f ca="1">IF($Q76="","",COUNT($Q$9:$Q76))</f>
        <v/>
      </c>
      <c r="Q76" s="111" t="str">
        <f ca="1">IF($Q75="","",IF($Q75&lt;EDATE(DataValidation!$I$13,$E$19-1),EDATE($Q75,1),""))</f>
        <v/>
      </c>
      <c r="R76" s="98"/>
      <c r="S76" s="173" t="str">
        <f ca="1">IF(Q76="","",(VLOOKUP($Q76,Calculator!$D$15:$L$98,9)+SUM(DataValidation!$I$16:$I$17)/$E$19))</f>
        <v/>
      </c>
      <c r="T76" s="113" t="str">
        <f t="shared" ca="1" si="2"/>
        <v/>
      </c>
      <c r="U76" s="116"/>
      <c r="V76" s="113" t="str">
        <f ca="1">IF(P76="","",'Vols - Forward Curve'!P69)</f>
        <v/>
      </c>
      <c r="W76" s="113" t="str">
        <f ca="1">IF(V76="","",IF(strikeType=DataValidation!$C$2,strike,IF(strikeType=DataValidation!$C$3,IF(ROWS($W$9:W76)&lt;=12,StepUp1,IF(ROWS($W$9:W76)&lt;=24,StepUp2,IF(ROWS($W$9:W76)&lt;=36,StepUp3,IF(ROWS($W$9:W76)&lt;=48,StepUp4,IF(ROWS($W$9:W76)&lt;=60,StepUp5,IF(ROWS($W$9:W76)&lt;=72,StepUp6,IF(ROWS($W$9:W76)&lt;=84,StepUp7,0))))))))))</f>
        <v/>
      </c>
      <c r="X76" s="101" t="str">
        <f ca="1">IF(V76="","",IF(AND(strikeType=DataValidation!$C$2,V76&gt;strike),('Cap Pricer'!V76-strike)*notional*((Volatilities_Resets!D71-Volatilities_Resets!C71)/360),IF(AND(strikeType=DataValidation!$C$3,V76&gt;W76),(V76-W76)*notional*((Volatilities_Resets!D71-Volatilities_Resets!C71)/360),0)))</f>
        <v/>
      </c>
      <c r="Y76" s="101" t="str">
        <f ca="1">IF(P76="","",(IF(X76&gt;0, ((VLOOKUP('Cap Pricer'!$P76,Calculator!$C$15:$T$98,18))*X76), 0)))</f>
        <v/>
      </c>
    </row>
    <row r="77" spans="16:25">
      <c r="P77" s="108" t="str">
        <f ca="1">IF($Q77="","",COUNT($Q$9:$Q77))</f>
        <v/>
      </c>
      <c r="Q77" s="111" t="str">
        <f ca="1">IF($Q76="","",IF($Q76&lt;EDATE(DataValidation!$I$13,$E$19-1),EDATE($Q76,1),""))</f>
        <v/>
      </c>
      <c r="R77" s="98"/>
      <c r="S77" s="173" t="str">
        <f ca="1">IF(Q77="","",(VLOOKUP($Q77,Calculator!$D$15:$L$98,9)+SUM(DataValidation!$I$16:$I$17)/$E$19))</f>
        <v/>
      </c>
      <c r="T77" s="113" t="str">
        <f t="shared" ca="1" si="2"/>
        <v/>
      </c>
      <c r="U77" s="116"/>
      <c r="V77" s="113" t="str">
        <f ca="1">IF(P77="","",'Vols - Forward Curve'!P70)</f>
        <v/>
      </c>
      <c r="W77" s="113" t="str">
        <f ca="1">IF(V77="","",IF(strikeType=DataValidation!$C$2,strike,IF(strikeType=DataValidation!$C$3,IF(ROWS($W$9:W77)&lt;=12,StepUp1,IF(ROWS($W$9:W77)&lt;=24,StepUp2,IF(ROWS($W$9:W77)&lt;=36,StepUp3,IF(ROWS($W$9:W77)&lt;=48,StepUp4,IF(ROWS($W$9:W77)&lt;=60,StepUp5,IF(ROWS($W$9:W77)&lt;=72,StepUp6,IF(ROWS($W$9:W77)&lt;=84,StepUp7,0))))))))))</f>
        <v/>
      </c>
      <c r="X77" s="101" t="str">
        <f ca="1">IF(V77="","",IF(AND(strikeType=DataValidation!$C$2,V77&gt;strike),('Cap Pricer'!V77-strike)*notional*((Volatilities_Resets!D72-Volatilities_Resets!C72)/360),IF(AND(strikeType=DataValidation!$C$3,V77&gt;W77),(V77-W77)*notional*((Volatilities_Resets!D72-Volatilities_Resets!C72)/360),0)))</f>
        <v/>
      </c>
      <c r="Y77" s="101" t="str">
        <f ca="1">IF(P77="","",(IF(X77&gt;0, ((VLOOKUP('Cap Pricer'!$P77,Calculator!$C$15:$T$98,18))*X77), 0)))</f>
        <v/>
      </c>
    </row>
    <row r="78" spans="16:25">
      <c r="P78" s="108" t="str">
        <f ca="1">IF($Q78="","",COUNT($Q$9:$Q78))</f>
        <v/>
      </c>
      <c r="Q78" s="111" t="str">
        <f ca="1">IF($Q77="","",IF($Q77&lt;EDATE(DataValidation!$I$13,$E$19-1),EDATE($Q77,1),""))</f>
        <v/>
      </c>
      <c r="R78" s="98"/>
      <c r="S78" s="173" t="str">
        <f ca="1">IF(Q78="","",(VLOOKUP($Q78,Calculator!$D$15:$L$98,9)+SUM(DataValidation!$I$16:$I$17)/$E$19))</f>
        <v/>
      </c>
      <c r="T78" s="113" t="str">
        <f t="shared" ca="1" si="2"/>
        <v/>
      </c>
      <c r="U78" s="116"/>
      <c r="V78" s="113" t="str">
        <f ca="1">IF(P78="","",'Vols - Forward Curve'!P71)</f>
        <v/>
      </c>
      <c r="W78" s="113" t="str">
        <f ca="1">IF(V78="","",IF(strikeType=DataValidation!$C$2,strike,IF(strikeType=DataValidation!$C$3,IF(ROWS($W$9:W78)&lt;=12,StepUp1,IF(ROWS($W$9:W78)&lt;=24,StepUp2,IF(ROWS($W$9:W78)&lt;=36,StepUp3,IF(ROWS($W$9:W78)&lt;=48,StepUp4,IF(ROWS($W$9:W78)&lt;=60,StepUp5,IF(ROWS($W$9:W78)&lt;=72,StepUp6,IF(ROWS($W$9:W78)&lt;=84,StepUp7,0))))))))))</f>
        <v/>
      </c>
      <c r="X78" s="101" t="str">
        <f ca="1">IF(V78="","",IF(AND(strikeType=DataValidation!$C$2,V78&gt;strike),('Cap Pricer'!V78-strike)*notional*((Volatilities_Resets!D73-Volatilities_Resets!C73)/360),IF(AND(strikeType=DataValidation!$C$3,V78&gt;W78),(V78-W78)*notional*((Volatilities_Resets!D73-Volatilities_Resets!C73)/360),0)))</f>
        <v/>
      </c>
      <c r="Y78" s="101" t="str">
        <f ca="1">IF(P78="","",(IF(X78&gt;0, ((VLOOKUP('Cap Pricer'!$P78,Calculator!$C$15:$T$98,18))*X78), 0)))</f>
        <v/>
      </c>
    </row>
    <row r="79" spans="16:25">
      <c r="P79" s="108" t="str">
        <f ca="1">IF($Q79="","",COUNT($Q$9:$Q79))</f>
        <v/>
      </c>
      <c r="Q79" s="111" t="str">
        <f ca="1">IF($Q78="","",IF($Q78&lt;EDATE(DataValidation!$I$13,$E$19-1),EDATE($Q78,1),""))</f>
        <v/>
      </c>
      <c r="R79" s="98"/>
      <c r="S79" s="173" t="str">
        <f ca="1">IF(Q79="","",(VLOOKUP($Q79,Calculator!$D$15:$L$98,9)+SUM(DataValidation!$I$16:$I$17)/$E$19))</f>
        <v/>
      </c>
      <c r="T79" s="113" t="str">
        <f t="shared" ca="1" si="2"/>
        <v/>
      </c>
      <c r="U79" s="116"/>
      <c r="V79" s="113" t="str">
        <f ca="1">IF(P79="","",'Vols - Forward Curve'!P72)</f>
        <v/>
      </c>
      <c r="W79" s="113" t="str">
        <f ca="1">IF(V79="","",IF(strikeType=DataValidation!$C$2,strike,IF(strikeType=DataValidation!$C$3,IF(ROWS($W$9:W79)&lt;=12,StepUp1,IF(ROWS($W$9:W79)&lt;=24,StepUp2,IF(ROWS($W$9:W79)&lt;=36,StepUp3,IF(ROWS($W$9:W79)&lt;=48,StepUp4,IF(ROWS($W$9:W79)&lt;=60,StepUp5,IF(ROWS($W$9:W79)&lt;=72,StepUp6,IF(ROWS($W$9:W79)&lt;=84,StepUp7,0))))))))))</f>
        <v/>
      </c>
      <c r="X79" s="101" t="str">
        <f ca="1">IF(V79="","",IF(AND(strikeType=DataValidation!$C$2,V79&gt;strike),('Cap Pricer'!V79-strike)*notional*((Volatilities_Resets!D74-Volatilities_Resets!C74)/360),IF(AND(strikeType=DataValidation!$C$3,V79&gt;W79),(V79-W79)*notional*((Volatilities_Resets!D74-Volatilities_Resets!C74)/360),0)))</f>
        <v/>
      </c>
      <c r="Y79" s="101" t="str">
        <f ca="1">IF(P79="","",(IF(X79&gt;0, ((VLOOKUP('Cap Pricer'!$P79,Calculator!$C$15:$T$98,18))*X79), 0)))</f>
        <v/>
      </c>
    </row>
    <row r="80" spans="16:25">
      <c r="P80" s="108" t="str">
        <f ca="1">IF($Q80="","",COUNT($Q$9:$Q80))</f>
        <v/>
      </c>
      <c r="Q80" s="111" t="str">
        <f ca="1">IF($Q79="","",IF($Q79&lt;EDATE(DataValidation!$I$13,$E$19-1),EDATE($Q79,1),""))</f>
        <v/>
      </c>
      <c r="R80" s="98"/>
      <c r="S80" s="173" t="str">
        <f ca="1">IF(Q80="","",(VLOOKUP($Q80,Calculator!$D$15:$L$98,9)+SUM(DataValidation!$I$16:$I$17)/$E$19))</f>
        <v/>
      </c>
      <c r="T80" s="113" t="str">
        <f t="shared" ca="1" si="2"/>
        <v/>
      </c>
      <c r="U80" s="116"/>
      <c r="V80" s="113" t="str">
        <f ca="1">IF(P80="","",'Vols - Forward Curve'!P73)</f>
        <v/>
      </c>
      <c r="W80" s="113" t="str">
        <f ca="1">IF(V80="","",IF(strikeType=DataValidation!$C$2,strike,IF(strikeType=DataValidation!$C$3,IF(ROWS($W$9:W80)&lt;=12,StepUp1,IF(ROWS($W$9:W80)&lt;=24,StepUp2,IF(ROWS($W$9:W80)&lt;=36,StepUp3,IF(ROWS($W$9:W80)&lt;=48,StepUp4,IF(ROWS($W$9:W80)&lt;=60,StepUp5,IF(ROWS($W$9:W80)&lt;=72,StepUp6,IF(ROWS($W$9:W80)&lt;=84,StepUp7,0))))))))))</f>
        <v/>
      </c>
      <c r="X80" s="101" t="str">
        <f ca="1">IF(V80="","",IF(AND(strikeType=DataValidation!$C$2,V80&gt;strike),('Cap Pricer'!V80-strike)*notional*((Volatilities_Resets!D75-Volatilities_Resets!C75)/360),IF(AND(strikeType=DataValidation!$C$3,V80&gt;W80),(V80-W80)*notional*((Volatilities_Resets!D75-Volatilities_Resets!C75)/360),0)))</f>
        <v/>
      </c>
      <c r="Y80" s="101" t="str">
        <f ca="1">IF(P80="","",(IF(X80&gt;0, ((VLOOKUP('Cap Pricer'!$P80,Calculator!$C$15:$T$98,18))*X80), 0)))</f>
        <v/>
      </c>
    </row>
    <row r="81" spans="16:25">
      <c r="P81" s="108" t="str">
        <f ca="1">IF($Q81="","",COUNT($Q$9:$Q81))</f>
        <v/>
      </c>
      <c r="Q81" s="111" t="str">
        <f ca="1">IF($Q80="","",IF($Q80&lt;EDATE(DataValidation!$I$13,$E$19-1),EDATE($Q80,1),""))</f>
        <v/>
      </c>
      <c r="R81" s="98"/>
      <c r="S81" s="173" t="str">
        <f ca="1">IF(Q81="","",(VLOOKUP($Q81,Calculator!$D$15:$L$98,9)+SUM(DataValidation!$I$16:$I$17)/$E$19))</f>
        <v/>
      </c>
      <c r="T81" s="113" t="str">
        <f t="shared" ca="1" si="2"/>
        <v/>
      </c>
      <c r="U81" s="116"/>
      <c r="V81" s="113" t="str">
        <f ca="1">IF(P81="","",'Vols - Forward Curve'!P74)</f>
        <v/>
      </c>
      <c r="W81" s="113" t="str">
        <f ca="1">IF(V81="","",IF(strikeType=DataValidation!$C$2,strike,IF(strikeType=DataValidation!$C$3,IF(ROWS($W$9:W81)&lt;=12,StepUp1,IF(ROWS($W$9:W81)&lt;=24,StepUp2,IF(ROWS($W$9:W81)&lt;=36,StepUp3,IF(ROWS($W$9:W81)&lt;=48,StepUp4,IF(ROWS($W$9:W81)&lt;=60,StepUp5,IF(ROWS($W$9:W81)&lt;=72,StepUp6,IF(ROWS($W$9:W81)&lt;=84,StepUp7,0))))))))))</f>
        <v/>
      </c>
      <c r="X81" s="101" t="str">
        <f ca="1">IF(V81="","",IF(AND(strikeType=DataValidation!$C$2,V81&gt;strike),('Cap Pricer'!V81-strike)*notional*((Volatilities_Resets!D76-Volatilities_Resets!C76)/360),IF(AND(strikeType=DataValidation!$C$3,V81&gt;W81),(V81-W81)*notional*((Volatilities_Resets!D76-Volatilities_Resets!C76)/360),0)))</f>
        <v/>
      </c>
      <c r="Y81" s="101" t="str">
        <f ca="1">IF(P81="","",(IF(X81&gt;0, ((VLOOKUP('Cap Pricer'!$P81,Calculator!$C$15:$T$98,18))*X81), 0)))</f>
        <v/>
      </c>
    </row>
    <row r="82" spans="16:25">
      <c r="P82" s="108" t="str">
        <f ca="1">IF($Q82="","",COUNT($Q$9:$Q82))</f>
        <v/>
      </c>
      <c r="Q82" s="111" t="str">
        <f ca="1">IF($Q81="","",IF($Q81&lt;EDATE(DataValidation!$I$13,$E$19-1),EDATE($Q81,1),""))</f>
        <v/>
      </c>
      <c r="R82" s="98"/>
      <c r="S82" s="173" t="str">
        <f ca="1">IF(Q82="","",(VLOOKUP($Q82,Calculator!$D$15:$L$98,9)+SUM(DataValidation!$I$16:$I$17)/$E$19))</f>
        <v/>
      </c>
      <c r="T82" s="113" t="str">
        <f t="shared" ca="1" si="2"/>
        <v/>
      </c>
      <c r="U82" s="116"/>
      <c r="V82" s="113" t="str">
        <f ca="1">IF(P82="","",'Vols - Forward Curve'!P75)</f>
        <v/>
      </c>
      <c r="W82" s="113" t="str">
        <f ca="1">IF(V82="","",IF(strikeType=DataValidation!$C$2,strike,IF(strikeType=DataValidation!$C$3,IF(ROWS($W$9:W82)&lt;=12,StepUp1,IF(ROWS($W$9:W82)&lt;=24,StepUp2,IF(ROWS($W$9:W82)&lt;=36,StepUp3,IF(ROWS($W$9:W82)&lt;=48,StepUp4,IF(ROWS($W$9:W82)&lt;=60,StepUp5,IF(ROWS($W$9:W82)&lt;=72,StepUp6,IF(ROWS($W$9:W82)&lt;=84,StepUp7,0))))))))))</f>
        <v/>
      </c>
      <c r="X82" s="101" t="str">
        <f ca="1">IF(V82="","",IF(AND(strikeType=DataValidation!$C$2,V82&gt;strike),('Cap Pricer'!V82-strike)*notional*((Volatilities_Resets!D77-Volatilities_Resets!C77)/360),IF(AND(strikeType=DataValidation!$C$3,V82&gt;W82),(V82-W82)*notional*((Volatilities_Resets!D77-Volatilities_Resets!C77)/360),0)))</f>
        <v/>
      </c>
      <c r="Y82" s="101" t="str">
        <f ca="1">IF(P82="","",(IF(X82&gt;0, ((VLOOKUP('Cap Pricer'!$P82,Calculator!$C$15:$T$98,18))*X82), 0)))</f>
        <v/>
      </c>
    </row>
    <row r="83" spans="16:25">
      <c r="P83" s="108" t="str">
        <f ca="1">IF($Q83="","",COUNT($Q$9:$Q83))</f>
        <v/>
      </c>
      <c r="Q83" s="111" t="str">
        <f ca="1">IF($Q82="","",IF($Q82&lt;EDATE(DataValidation!$I$13,$E$19-1),EDATE($Q82,1),""))</f>
        <v/>
      </c>
      <c r="R83" s="98"/>
      <c r="S83" s="173" t="str">
        <f ca="1">IF(Q83="","",(VLOOKUP($Q83,Calculator!$D$15:$L$98,9)+SUM(DataValidation!$I$16:$I$17)/$E$19))</f>
        <v/>
      </c>
      <c r="T83" s="113" t="str">
        <f t="shared" ca="1" si="2"/>
        <v/>
      </c>
      <c r="U83" s="116"/>
      <c r="V83" s="113" t="str">
        <f ca="1">IF(P83="","",'Vols - Forward Curve'!P76)</f>
        <v/>
      </c>
      <c r="W83" s="113" t="str">
        <f ca="1">IF(V83="","",IF(strikeType=DataValidation!$C$2,strike,IF(strikeType=DataValidation!$C$3,IF(ROWS($W$9:W83)&lt;=12,StepUp1,IF(ROWS($W$9:W83)&lt;=24,StepUp2,IF(ROWS($W$9:W83)&lt;=36,StepUp3,IF(ROWS($W$9:W83)&lt;=48,StepUp4,IF(ROWS($W$9:W83)&lt;=60,StepUp5,IF(ROWS($W$9:W83)&lt;=72,StepUp6,IF(ROWS($W$9:W83)&lt;=84,StepUp7,0))))))))))</f>
        <v/>
      </c>
      <c r="X83" s="101" t="str">
        <f ca="1">IF(V83="","",IF(AND(strikeType=DataValidation!$C$2,V83&gt;strike),('Cap Pricer'!V83-strike)*notional*((Volatilities_Resets!D78-Volatilities_Resets!C78)/360),IF(AND(strikeType=DataValidation!$C$3,V83&gt;W83),(V83-W83)*notional*((Volatilities_Resets!D78-Volatilities_Resets!C78)/360),0)))</f>
        <v/>
      </c>
      <c r="Y83" s="101" t="str">
        <f ca="1">IF(P83="","",(IF(X83&gt;0, ((VLOOKUP('Cap Pricer'!$P83,Calculator!$C$15:$T$98,18))*X83), 0)))</f>
        <v/>
      </c>
    </row>
    <row r="84" spans="16:25">
      <c r="P84" s="108" t="str">
        <f ca="1">IF($Q84="","",COUNT($Q$9:$Q84))</f>
        <v/>
      </c>
      <c r="Q84" s="111" t="str">
        <f ca="1">IF($Q83="","",IF($Q83&lt;EDATE(DataValidation!$I$13,$E$19-1),EDATE($Q83,1),""))</f>
        <v/>
      </c>
      <c r="R84" s="98"/>
      <c r="S84" s="173" t="str">
        <f ca="1">IF(Q84="","",(VLOOKUP($Q84,Calculator!$D$15:$L$98,9)+SUM(DataValidation!$I$16:$I$17)/$E$19))</f>
        <v/>
      </c>
      <c r="T84" s="113" t="str">
        <f t="shared" ca="1" si="2"/>
        <v/>
      </c>
      <c r="U84" s="116"/>
      <c r="V84" s="113" t="str">
        <f ca="1">IF(P84="","",'Vols - Forward Curve'!P77)</f>
        <v/>
      </c>
      <c r="W84" s="113" t="str">
        <f ca="1">IF(V84="","",IF(strikeType=DataValidation!$C$2,strike,IF(strikeType=DataValidation!$C$3,IF(ROWS($W$9:W84)&lt;=12,StepUp1,IF(ROWS($W$9:W84)&lt;=24,StepUp2,IF(ROWS($W$9:W84)&lt;=36,StepUp3,IF(ROWS($W$9:W84)&lt;=48,StepUp4,IF(ROWS($W$9:W84)&lt;=60,StepUp5,IF(ROWS($W$9:W84)&lt;=72,StepUp6,IF(ROWS($W$9:W84)&lt;=84,StepUp7,0))))))))))</f>
        <v/>
      </c>
      <c r="X84" s="101" t="str">
        <f ca="1">IF(V84="","",IF(AND(strikeType=DataValidation!$C$2,V84&gt;strike),('Cap Pricer'!V84-strike)*notional*((Volatilities_Resets!D79-Volatilities_Resets!C79)/360),IF(AND(strikeType=DataValidation!$C$3,V84&gt;W84),(V84-W84)*notional*((Volatilities_Resets!D79-Volatilities_Resets!C79)/360),0)))</f>
        <v/>
      </c>
      <c r="Y84" s="101" t="str">
        <f ca="1">IF(P84="","",(IF(X84&gt;0, ((VLOOKUP('Cap Pricer'!$P84,Calculator!$C$15:$T$98,18))*X84), 0)))</f>
        <v/>
      </c>
    </row>
    <row r="85" spans="16:25">
      <c r="P85" s="108" t="str">
        <f ca="1">IF($Q85="","",COUNT($Q$9:$Q85))</f>
        <v/>
      </c>
      <c r="Q85" s="111" t="str">
        <f ca="1">IF($Q84="","",IF($Q84&lt;EDATE(DataValidation!$I$13,$E$19-1),EDATE($Q84,1),""))</f>
        <v/>
      </c>
      <c r="R85" s="98"/>
      <c r="S85" s="173" t="str">
        <f ca="1">IF(Q85="","",(VLOOKUP($Q85,Calculator!$D$15:$L$98,9)+SUM(DataValidation!$I$16:$I$17)/$E$19))</f>
        <v/>
      </c>
      <c r="T85" s="113" t="str">
        <f t="shared" ca="1" si="2"/>
        <v/>
      </c>
      <c r="U85" s="116"/>
      <c r="V85" s="113" t="str">
        <f ca="1">IF(P85="","",'Vols - Forward Curve'!P78)</f>
        <v/>
      </c>
      <c r="W85" s="113" t="str">
        <f ca="1">IF(V85="","",IF(strikeType=DataValidation!$C$2,strike,IF(strikeType=DataValidation!$C$3,IF(ROWS($W$9:W85)&lt;=12,StepUp1,IF(ROWS($W$9:W85)&lt;=24,StepUp2,IF(ROWS($W$9:W85)&lt;=36,StepUp3,IF(ROWS($W$9:W85)&lt;=48,StepUp4,IF(ROWS($W$9:W85)&lt;=60,StepUp5,IF(ROWS($W$9:W85)&lt;=72,StepUp6,IF(ROWS($W$9:W85)&lt;=84,StepUp7,0))))))))))</f>
        <v/>
      </c>
      <c r="X85" s="101" t="str">
        <f ca="1">IF(V85="","",IF(AND(strikeType=DataValidation!$C$2,V85&gt;strike),('Cap Pricer'!V85-strike)*notional*((Volatilities_Resets!D80-Volatilities_Resets!C80)/360),IF(AND(strikeType=DataValidation!$C$3,V85&gt;W85),(V85-W85)*notional*((Volatilities_Resets!D80-Volatilities_Resets!C80)/360),0)))</f>
        <v/>
      </c>
      <c r="Y85" s="101" t="str">
        <f ca="1">IF(P85="","",(IF(X85&gt;0, ((VLOOKUP('Cap Pricer'!$P85,Calculator!$C$15:$T$98,18))*X85), 0)))</f>
        <v/>
      </c>
    </row>
    <row r="86" spans="16:25">
      <c r="P86" s="108" t="str">
        <f ca="1">IF($Q86="","",COUNT($Q$9:$Q86))</f>
        <v/>
      </c>
      <c r="Q86" s="111" t="str">
        <f ca="1">IF($Q85="","",IF($Q85&lt;EDATE(DataValidation!$I$13,$E$19-1),EDATE($Q85,1),""))</f>
        <v/>
      </c>
      <c r="R86" s="98"/>
      <c r="S86" s="173" t="str">
        <f ca="1">IF(Q86="","",(VLOOKUP($Q86,Calculator!$D$15:$L$98,9)+SUM(DataValidation!$I$16:$I$17)/$E$19))</f>
        <v/>
      </c>
      <c r="T86" s="113" t="str">
        <f t="shared" ca="1" si="2"/>
        <v/>
      </c>
      <c r="U86" s="116"/>
      <c r="V86" s="113" t="str">
        <f ca="1">IF(P86="","",'Vols - Forward Curve'!P79)</f>
        <v/>
      </c>
      <c r="W86" s="113" t="str">
        <f ca="1">IF(V86="","",IF(strikeType=DataValidation!$C$2,strike,IF(strikeType=DataValidation!$C$3,IF(ROWS($W$9:W86)&lt;=12,StepUp1,IF(ROWS($W$9:W86)&lt;=24,StepUp2,IF(ROWS($W$9:W86)&lt;=36,StepUp3,IF(ROWS($W$9:W86)&lt;=48,StepUp4,IF(ROWS($W$9:W86)&lt;=60,StepUp5,IF(ROWS($W$9:W86)&lt;=72,StepUp6,IF(ROWS($W$9:W86)&lt;=84,StepUp7,0))))))))))</f>
        <v/>
      </c>
      <c r="X86" s="101" t="str">
        <f ca="1">IF(V86="","",IF(AND(strikeType=DataValidation!$C$2,V86&gt;strike),('Cap Pricer'!V86-strike)*notional*((Volatilities_Resets!D81-Volatilities_Resets!C81)/360),IF(AND(strikeType=DataValidation!$C$3,V86&gt;W86),(V86-W86)*notional*((Volatilities_Resets!D81-Volatilities_Resets!C81)/360),0)))</f>
        <v/>
      </c>
      <c r="Y86" s="101" t="str">
        <f ca="1">IF(P86="","",(IF(X86&gt;0, ((VLOOKUP('Cap Pricer'!$P86,Calculator!$C$15:$T$98,18))*X86), 0)))</f>
        <v/>
      </c>
    </row>
    <row r="87" spans="16:25">
      <c r="P87" s="108" t="str">
        <f ca="1">IF($Q87="","",COUNT($Q$9:$Q87))</f>
        <v/>
      </c>
      <c r="Q87" s="111" t="str">
        <f ca="1">IF($Q86="","",IF($Q86&lt;EDATE(DataValidation!$I$13,$E$19-1),EDATE($Q86,1),""))</f>
        <v/>
      </c>
      <c r="R87" s="98"/>
      <c r="S87" s="173" t="str">
        <f ca="1">IF(Q87="","",(VLOOKUP($Q87,Calculator!$D$15:$L$98,9)+SUM(DataValidation!$I$16:$I$17)/$E$19))</f>
        <v/>
      </c>
      <c r="T87" s="113" t="str">
        <f t="shared" ca="1" si="2"/>
        <v/>
      </c>
      <c r="U87" s="116"/>
      <c r="V87" s="113" t="str">
        <f ca="1">IF(P87="","",'Vols - Forward Curve'!P80)</f>
        <v/>
      </c>
      <c r="W87" s="113" t="str">
        <f ca="1">IF(V87="","",IF(strikeType=DataValidation!$C$2,strike,IF(strikeType=DataValidation!$C$3,IF(ROWS($W$9:W87)&lt;=12,StepUp1,IF(ROWS($W$9:W87)&lt;=24,StepUp2,IF(ROWS($W$9:W87)&lt;=36,StepUp3,IF(ROWS($W$9:W87)&lt;=48,StepUp4,IF(ROWS($W$9:W87)&lt;=60,StepUp5,IF(ROWS($W$9:W87)&lt;=72,StepUp6,IF(ROWS($W$9:W87)&lt;=84,StepUp7,0))))))))))</f>
        <v/>
      </c>
      <c r="X87" s="101" t="str">
        <f ca="1">IF(V87="","",IF(AND(strikeType=DataValidation!$C$2,V87&gt;strike),('Cap Pricer'!V87-strike)*notional*((Volatilities_Resets!D82-Volatilities_Resets!C82)/360),IF(AND(strikeType=DataValidation!$C$3,V87&gt;W87),(V87-W87)*notional*((Volatilities_Resets!D82-Volatilities_Resets!C82)/360),0)))</f>
        <v/>
      </c>
      <c r="Y87" s="101" t="str">
        <f ca="1">IF(P87="","",(IF(X87&gt;0, ((VLOOKUP('Cap Pricer'!$P87,Calculator!$C$15:$T$98,18))*X87), 0)))</f>
        <v/>
      </c>
    </row>
    <row r="88" spans="16:25">
      <c r="P88" s="108" t="str">
        <f ca="1">IF($Q88="","",COUNT($Q$9:$Q88))</f>
        <v/>
      </c>
      <c r="Q88" s="111" t="str">
        <f ca="1">IF($Q87="","",IF($Q87&lt;EDATE(DataValidation!$I$13,$E$19-1),EDATE($Q87,1),""))</f>
        <v/>
      </c>
      <c r="R88" s="98"/>
      <c r="S88" s="173" t="str">
        <f ca="1">IF(Q88="","",(VLOOKUP($Q88,Calculator!$D$15:$L$98,9)+SUM(DataValidation!$I$16:$I$17)/$E$19))</f>
        <v/>
      </c>
      <c r="T88" s="113" t="str">
        <f t="shared" ca="1" si="2"/>
        <v/>
      </c>
      <c r="U88" s="116"/>
      <c r="V88" s="113" t="str">
        <f ca="1">IF(P88="","",'Vols - Forward Curve'!P81)</f>
        <v/>
      </c>
      <c r="W88" s="113" t="str">
        <f ca="1">IF(V88="","",IF(strikeType=DataValidation!$C$2,strike,IF(strikeType=DataValidation!$C$3,IF(ROWS($W$9:W88)&lt;=12,StepUp1,IF(ROWS($W$9:W88)&lt;=24,StepUp2,IF(ROWS($W$9:W88)&lt;=36,StepUp3,IF(ROWS($W$9:W88)&lt;=48,StepUp4,IF(ROWS($W$9:W88)&lt;=60,StepUp5,IF(ROWS($W$9:W88)&lt;=72,StepUp6,IF(ROWS($W$9:W88)&lt;=84,StepUp7,0))))))))))</f>
        <v/>
      </c>
      <c r="X88" s="101" t="str">
        <f ca="1">IF(V88="","",IF(AND(strikeType=DataValidation!$C$2,V88&gt;strike),('Cap Pricer'!V88-strike)*notional*((Volatilities_Resets!D83-Volatilities_Resets!C83)/360),IF(AND(strikeType=DataValidation!$C$3,V88&gt;W88),(V88-W88)*notional*((Volatilities_Resets!D83-Volatilities_Resets!C83)/360),0)))</f>
        <v/>
      </c>
      <c r="Y88" s="101" t="str">
        <f ca="1">IF(P88="","",(IF(X88&gt;0, ((VLOOKUP('Cap Pricer'!$P88,Calculator!$C$15:$T$98,18))*X88), 0)))</f>
        <v/>
      </c>
    </row>
    <row r="89" spans="16:25">
      <c r="P89" s="108" t="str">
        <f ca="1">IF($Q89="","",COUNT($Q$9:$Q89))</f>
        <v/>
      </c>
      <c r="Q89" s="111" t="str">
        <f ca="1">IF($Q88="","",IF($Q88&lt;EDATE(DataValidation!$I$13,$E$19-1),EDATE($Q88,1),""))</f>
        <v/>
      </c>
      <c r="R89" s="98"/>
      <c r="S89" s="173" t="str">
        <f ca="1">IF(Q89="","",(VLOOKUP($Q89,Calculator!$D$15:$L$98,9)+SUM(DataValidation!$I$16:$I$17)/$E$19))</f>
        <v/>
      </c>
      <c r="T89" s="113" t="str">
        <f t="shared" ca="1" si="2"/>
        <v/>
      </c>
      <c r="U89" s="116"/>
      <c r="V89" s="113" t="str">
        <f ca="1">IF(P89="","",'Vols - Forward Curve'!P82)</f>
        <v/>
      </c>
      <c r="W89" s="113" t="str">
        <f ca="1">IF(V89="","",IF(strikeType=DataValidation!$C$2,strike,IF(strikeType=DataValidation!$C$3,IF(ROWS($W$9:W89)&lt;=12,StepUp1,IF(ROWS($W$9:W89)&lt;=24,StepUp2,IF(ROWS($W$9:W89)&lt;=36,StepUp3,IF(ROWS($W$9:W89)&lt;=48,StepUp4,IF(ROWS($W$9:W89)&lt;=60,StepUp5,IF(ROWS($W$9:W89)&lt;=72,StepUp6,IF(ROWS($W$9:W89)&lt;=84,StepUp7,0))))))))))</f>
        <v/>
      </c>
      <c r="X89" s="101" t="str">
        <f ca="1">IF(V89="","",IF(AND(strikeType=DataValidation!$C$2,V89&gt;strike),('Cap Pricer'!V89-strike)*notional*((Volatilities_Resets!D84-Volatilities_Resets!C84)/360),IF(AND(strikeType=DataValidation!$C$3,V89&gt;W89),(V89-W89)*notional*((Volatilities_Resets!D84-Volatilities_Resets!C84)/360),0)))</f>
        <v/>
      </c>
      <c r="Y89" s="101" t="str">
        <f ca="1">IF(P89="","",(IF(X89&gt;0, ((VLOOKUP('Cap Pricer'!$P89,Calculator!$C$15:$T$98,18))*X89), 0)))</f>
        <v/>
      </c>
    </row>
    <row r="90" spans="16:25">
      <c r="P90" s="108" t="str">
        <f ca="1">IF($Q90="","",COUNT($Q$9:$Q90))</f>
        <v/>
      </c>
      <c r="Q90" s="111" t="str">
        <f ca="1">IF($Q89="","",IF($Q89&lt;EDATE(DataValidation!$I$13,$E$19-1),EDATE($Q89,1),""))</f>
        <v/>
      </c>
      <c r="R90" s="98"/>
      <c r="S90" s="173" t="str">
        <f ca="1">IF(Q90="","",(VLOOKUP($Q90,Calculator!$D$15:$L$98,9)+SUM(DataValidation!$I$16:$I$17)/$E$19))</f>
        <v/>
      </c>
      <c r="T90" s="113" t="str">
        <f t="shared" ca="1" si="2"/>
        <v/>
      </c>
      <c r="U90" s="116"/>
      <c r="V90" s="113" t="str">
        <f ca="1">IF(P90="","",'Vols - Forward Curve'!P83)</f>
        <v/>
      </c>
      <c r="W90" s="113" t="str">
        <f ca="1">IF(V90="","",IF(strikeType=DataValidation!$C$2,strike,IF(strikeType=DataValidation!$C$3,IF(ROWS($W$9:W90)&lt;=12,StepUp1,IF(ROWS($W$9:W90)&lt;=24,StepUp2,IF(ROWS($W$9:W90)&lt;=36,StepUp3,IF(ROWS($W$9:W90)&lt;=48,StepUp4,IF(ROWS($W$9:W90)&lt;=60,StepUp5,IF(ROWS($W$9:W90)&lt;=72,StepUp6,IF(ROWS($W$9:W90)&lt;=84,StepUp7,0))))))))))</f>
        <v/>
      </c>
      <c r="X90" s="101" t="str">
        <f ca="1">IF(V90="","",IF(AND(strikeType=DataValidation!$C$2,V90&gt;strike),('Cap Pricer'!V90-strike)*notional*((Volatilities_Resets!D85-Volatilities_Resets!C85)/360),IF(AND(strikeType=DataValidation!$C$3,V90&gt;W90),(V90-W90)*notional*((Volatilities_Resets!D85-Volatilities_Resets!C85)/360),0)))</f>
        <v/>
      </c>
      <c r="Y90" s="101" t="str">
        <f ca="1">IF(P90="","",(IF(X90&gt;0, ((VLOOKUP('Cap Pricer'!$P90,Calculator!$C$15:$T$98,18))*X90), 0)))</f>
        <v/>
      </c>
    </row>
    <row r="91" spans="16:25">
      <c r="P91" s="108" t="str">
        <f ca="1">IF($Q91="","",COUNT($Q$9:$Q91))</f>
        <v/>
      </c>
      <c r="Q91" s="111" t="str">
        <f ca="1">IF($Q90="","",IF($Q90&lt;EDATE(DataValidation!$I$13,$E$19-1),EDATE($Q90,1),""))</f>
        <v/>
      </c>
      <c r="R91" s="98"/>
      <c r="S91" s="173" t="str">
        <f ca="1">IF(Q91="","",(VLOOKUP($Q91,Calculator!$D$15:$L$98,9)+SUM(DataValidation!$I$16:$I$17)/$E$19))</f>
        <v/>
      </c>
      <c r="T91" s="113" t="str">
        <f t="shared" ca="1" si="2"/>
        <v/>
      </c>
      <c r="U91" s="116"/>
      <c r="V91" s="113" t="str">
        <f ca="1">IF(P91="","",'Vols - Forward Curve'!P84)</f>
        <v/>
      </c>
      <c r="W91" s="113" t="str">
        <f ca="1">IF(V91="","",IF(strikeType=DataValidation!$C$2,strike,IF(strikeType=DataValidation!$C$3,IF(ROWS($W$9:W91)&lt;=12,StepUp1,IF(ROWS($W$9:W91)&lt;=24,StepUp2,IF(ROWS($W$9:W91)&lt;=36,StepUp3,IF(ROWS($W$9:W91)&lt;=48,StepUp4,IF(ROWS($W$9:W91)&lt;=60,StepUp5,IF(ROWS($W$9:W91)&lt;=72,StepUp6,IF(ROWS($W$9:W91)&lt;=84,StepUp7,0))))))))))</f>
        <v/>
      </c>
      <c r="X91" s="101" t="str">
        <f ca="1">IF(V91="","",IF(AND(strikeType=DataValidation!$C$2,V91&gt;strike),('Cap Pricer'!V91-strike)*notional*((Volatilities_Resets!D86-Volatilities_Resets!C86)/360),IF(AND(strikeType=DataValidation!$C$3,V91&gt;W91),(V91-W91)*notional*((Volatilities_Resets!D86-Volatilities_Resets!C86)/360),0)))</f>
        <v/>
      </c>
      <c r="Y91" s="101" t="str">
        <f ca="1">IF(P91="","",(IF(X91&gt;0, ((VLOOKUP('Cap Pricer'!$P91,Calculator!$C$15:$T$98,18))*X91), 0)))</f>
        <v/>
      </c>
    </row>
    <row r="92" spans="16:25">
      <c r="P92" s="108" t="str">
        <f ca="1">IF($Q92="","",COUNT($Q$9:$Q92))</f>
        <v/>
      </c>
      <c r="Q92" s="111" t="str">
        <f ca="1">IF($Q91="","",IF($Q91&lt;EDATE(DataValidation!$I$13,$E$19-1),EDATE($Q91,1),""))</f>
        <v/>
      </c>
      <c r="R92" s="98"/>
      <c r="S92" s="173" t="str">
        <f ca="1">IF(Q92="","",(VLOOKUP($Q92,Calculator!$D$15:$L$98,9)+SUM(DataValidation!$I$16:$I$17)/$E$19))</f>
        <v/>
      </c>
      <c r="T92" s="113" t="str">
        <f t="shared" ca="1" si="2"/>
        <v/>
      </c>
      <c r="U92" s="116"/>
      <c r="V92" s="113" t="str">
        <f ca="1">IF(P92="","",'Vols - Forward Curve'!P85)</f>
        <v/>
      </c>
      <c r="W92" s="113" t="str">
        <f ca="1">IF(V92="","",IF(strikeType=DataValidation!$C$2,strike,IF(strikeType=DataValidation!$C$3,IF(ROWS($W$9:W92)&lt;=12,StepUp1,IF(ROWS($W$9:W92)&lt;=24,StepUp2,IF(ROWS($W$9:W92)&lt;=36,StepUp3,IF(ROWS($W$9:W92)&lt;=48,StepUp4,IF(ROWS($W$9:W92)&lt;=60,StepUp5,IF(ROWS($W$9:W92)&lt;=72,StepUp6,IF(ROWS($W$9:W92)&lt;=84,StepUp7,0))))))))))</f>
        <v/>
      </c>
      <c r="X92" s="101" t="str">
        <f ca="1">IF(V92="","",IF(AND(strikeType=DataValidation!$C$2,V92&gt;strike),('Cap Pricer'!V92-strike)*notional*((Volatilities_Resets!D87-Volatilities_Resets!C87)/360),IF(AND(strikeType=DataValidation!$C$3,V92&gt;W92),(V92-W92)*notional*((Volatilities_Resets!D87-Volatilities_Resets!C87)/360),0)))</f>
        <v/>
      </c>
      <c r="Y92" s="101" t="str">
        <f ca="1">IF(P92="","",(IF(X92&gt;0, ((VLOOKUP('Cap Pricer'!$P92,Calculator!$C$15:$T$98,18))*X92), 0)))</f>
        <v/>
      </c>
    </row>
    <row r="93" spans="16:25">
      <c r="R93" s="98"/>
    </row>
    <row r="94" spans="16:25">
      <c r="R94" s="98"/>
    </row>
    <row r="95" spans="16:25">
      <c r="R95" s="98"/>
    </row>
    <row r="96" spans="16:25">
      <c r="R96" s="98"/>
    </row>
    <row r="97" spans="18:26">
      <c r="R97" s="98"/>
    </row>
    <row r="98" spans="18:26">
      <c r="R98" s="98"/>
    </row>
    <row r="99" spans="18:26">
      <c r="R99" s="98"/>
    </row>
    <row r="100" spans="18:26">
      <c r="R100" s="98"/>
    </row>
    <row r="101" spans="18:26">
      <c r="R101" s="98"/>
    </row>
    <row r="102" spans="18:26">
      <c r="R102" s="98"/>
    </row>
    <row r="103" spans="18:26">
      <c r="R103" s="98"/>
    </row>
    <row r="104" spans="18:26">
      <c r="R104" s="98"/>
    </row>
    <row r="105" spans="18:26">
      <c r="R105" s="98"/>
    </row>
    <row r="106" spans="18:26">
      <c r="R106" s="98"/>
    </row>
    <row r="107" spans="18:26">
      <c r="R107" s="98"/>
    </row>
    <row r="108" spans="18:26">
      <c r="R108" s="98"/>
    </row>
    <row r="109" spans="18:26">
      <c r="R109" s="98"/>
    </row>
    <row r="110" spans="18:26">
      <c r="R110" s="98"/>
    </row>
    <row r="111" spans="18:26">
      <c r="R111" s="98"/>
    </row>
    <row r="112" spans="18:26">
      <c r="R112" s="98"/>
      <c r="Z112" s="102"/>
    </row>
    <row r="113" spans="18:18">
      <c r="R113" s="98"/>
    </row>
    <row r="114" spans="18:18">
      <c r="R114" s="98"/>
    </row>
    <row r="115" spans="18:18">
      <c r="R115" s="98"/>
    </row>
    <row r="116" spans="18:18">
      <c r="R116" s="98"/>
    </row>
    <row r="117" spans="18:18">
      <c r="R117" s="98"/>
    </row>
  </sheetData>
  <sheetProtection algorithmName="SHA-512" hashValue="Bmvv+x7LvsW9G46VvEfzoj6ngPIn1zKQl5inh0yTZ3EQ+gMw46FTLnK+onval70NJcoToWF+7C2G1kBmHusXTw==" saltValue="0ezLjMAlSJBuM/kUjPZoyQ==" spinCount="100000" sheet="1" objects="1" scenarios="1"/>
  <protectedRanges>
    <protectedRange sqref="E18:E19 E21:E23 G19:G22 G27:H27" name="Range1"/>
  </protectedRanges>
  <dataConsolidate link="1"/>
  <mergeCells count="23">
    <mergeCell ref="I21:J21"/>
    <mergeCell ref="L26:N27"/>
    <mergeCell ref="L28:N29"/>
    <mergeCell ref="G27:H27"/>
    <mergeCell ref="C12:D13"/>
    <mergeCell ref="E12:E13"/>
    <mergeCell ref="C14:E15"/>
    <mergeCell ref="C33:N35"/>
    <mergeCell ref="G5:N14"/>
    <mergeCell ref="M22:N22"/>
    <mergeCell ref="M20:N20"/>
    <mergeCell ref="M18:N18"/>
    <mergeCell ref="M21:N21"/>
    <mergeCell ref="M19:N19"/>
    <mergeCell ref="K22:L22"/>
    <mergeCell ref="K20:L20"/>
    <mergeCell ref="K18:L18"/>
    <mergeCell ref="K21:L21"/>
    <mergeCell ref="K19:L19"/>
    <mergeCell ref="I22:J22"/>
    <mergeCell ref="I20:J20"/>
    <mergeCell ref="I18:J18"/>
    <mergeCell ref="I19:J19"/>
  </mergeCells>
  <conditionalFormatting sqref="E31 C31">
    <cfRule type="expression" dxfId="11" priority="21">
      <formula>$E$19&lt;=72</formula>
    </cfRule>
  </conditionalFormatting>
  <conditionalFormatting sqref="E30 C30">
    <cfRule type="expression" dxfId="10" priority="20">
      <formula>$E$19&lt;=60</formula>
    </cfRule>
  </conditionalFormatting>
  <conditionalFormatting sqref="E29 C29">
    <cfRule type="expression" dxfId="9" priority="19">
      <formula>$E$19&lt;=48</formula>
    </cfRule>
  </conditionalFormatting>
  <conditionalFormatting sqref="E28 C28">
    <cfRule type="expression" dxfId="8" priority="18">
      <formula>$E$19&lt;=36</formula>
    </cfRule>
  </conditionalFormatting>
  <conditionalFormatting sqref="E27 C27">
    <cfRule type="expression" dxfId="7" priority="16">
      <formula>$E$19&lt;=24</formula>
    </cfRule>
    <cfRule type="expression" dxfId="6" priority="17">
      <formula>$E$19&lt;=24</formula>
    </cfRule>
  </conditionalFormatting>
  <conditionalFormatting sqref="E26 C26">
    <cfRule type="expression" dxfId="5" priority="15">
      <formula>$E$19&lt;=12</formula>
    </cfRule>
  </conditionalFormatting>
  <conditionalFormatting sqref="F16:F18">
    <cfRule type="expression" dxfId="4" priority="50">
      <formula>#REF!=#REF!</formula>
    </cfRule>
  </conditionalFormatting>
  <conditionalFormatting sqref="C24:E24">
    <cfRule type="expression" dxfId="3" priority="60">
      <formula>$E$22="Constant"</formula>
    </cfRule>
  </conditionalFormatting>
  <dataValidations count="1">
    <dataValidation type="list" allowBlank="1" showInputMessage="1" showErrorMessage="1" sqref="F15" xr:uid="{00000000-0002-0000-0000-000000000000}">
      <formula1>#REF!</formula1>
    </dataValidation>
  </dataValidations>
  <pageMargins left="0.7" right="0.7" top="0.75" bottom="0.75" header="0.3" footer="0.3"/>
  <pageSetup scale="3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5" id="{00000000-000E-0000-0000-00001E000000}">
            <xm:f>$E$22=DataValidation!$C$3</xm:f>
            <x14:dxf>
              <font>
                <color theme="0"/>
              </font>
              <fill>
                <patternFill>
                  <bgColor theme="0"/>
                </patternFill>
              </fill>
            </x14:dxf>
          </x14:cfRule>
          <xm:sqref>C23:E23</xm:sqref>
        </x14:conditionalFormatting>
        <x14:conditionalFormatting xmlns:xm="http://schemas.microsoft.com/office/excel/2006/main">
          <x14:cfRule type="expression" priority="61" id="{00000000-000E-0000-0000-00001E000000}">
            <xm:f>$E$22=DataValidation!$C$2</xm:f>
            <x14:dxf>
              <font>
                <color theme="0"/>
              </font>
              <fill>
                <patternFill>
                  <bgColor theme="0"/>
                </patternFill>
              </fill>
            </x14:dxf>
          </x14:cfRule>
          <xm:sqref>E25:E31 C25:C31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DataValidation!$F$2:$F$3</xm:f>
          </x14:formula1>
          <xm:sqref>E21</xm:sqref>
        </x14:dataValidation>
        <x14:dataValidation type="list" allowBlank="1" showInputMessage="1" showErrorMessage="1" xr:uid="{00000000-0002-0000-0000-000003000000}">
          <x14:formula1>
            <xm:f>DataValidation!$C$2:$C$3</xm:f>
          </x14:formula1>
          <xm:sqref>E22</xm:sqref>
        </x14:dataValidation>
        <x14:dataValidation type="list" allowBlank="1" showInputMessage="1" showErrorMessage="1" xr:uid="{00000000-0002-0000-0000-000005000000}">
          <x14:formula1>
            <xm:f>DataValidation!$B$2:$B$11</xm:f>
          </x14:formula1>
          <xm:sqref>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0B0D-70DC-4716-A54A-C7C1FBCA5B02}">
  <sheetPr codeName="Sheet3">
    <pageSetUpPr fitToPage="1"/>
  </sheetPr>
  <dimension ref="A1:AF123"/>
  <sheetViews>
    <sheetView showGridLines="0" zoomScaleNormal="100" workbookViewId="0">
      <pane xSplit="1" ySplit="3" topLeftCell="B4" activePane="bottomRight" state="frozen"/>
      <selection activeCell="E19" sqref="E19"/>
      <selection pane="topRight" activeCell="E19" sqref="E19"/>
      <selection pane="bottomLeft" activeCell="E19" sqref="E19"/>
      <selection pane="bottomRight" activeCell="C4" sqref="C4"/>
    </sheetView>
  </sheetViews>
  <sheetFormatPr defaultColWidth="9.140625" defaultRowHeight="12.75"/>
  <cols>
    <col min="1" max="2" width="9.140625" style="131" customWidth="1"/>
    <col min="3" max="4" width="11" style="131" customWidth="1"/>
    <col min="5" max="5" width="20.28515625" style="131" customWidth="1"/>
    <col min="6" max="6" width="9.140625" style="131" customWidth="1"/>
    <col min="7" max="7" width="12" style="131" customWidth="1"/>
    <col min="8" max="8" width="3.85546875" style="131" customWidth="1"/>
    <col min="9" max="9" width="11.28515625" style="131" customWidth="1"/>
    <col min="10" max="10" width="3.85546875" style="131" customWidth="1"/>
    <col min="11" max="11" width="11.28515625" style="131" customWidth="1"/>
    <col min="12" max="12" width="4.7109375" style="131" bestFit="1" customWidth="1"/>
    <col min="13" max="13" width="11.5703125" style="131" customWidth="1"/>
    <col min="14" max="14" width="3.85546875" style="131" customWidth="1"/>
    <col min="15" max="15" width="11.140625" style="131" customWidth="1"/>
    <col min="16" max="16" width="3.85546875" style="131" customWidth="1"/>
    <col min="17" max="17" width="14.42578125" style="131" bestFit="1" customWidth="1"/>
    <col min="18" max="18" width="3.85546875" style="131" customWidth="1"/>
    <col min="19" max="19" width="11.28515625" style="131" customWidth="1"/>
    <col min="20" max="20" width="3.85546875" style="131" customWidth="1"/>
    <col min="21" max="21" width="12.5703125" style="131" customWidth="1"/>
    <col min="22" max="22" width="3.85546875" style="131" customWidth="1"/>
    <col min="23" max="23" width="12.5703125" style="131" customWidth="1"/>
    <col min="24" max="24" width="3.85546875" style="131" customWidth="1"/>
    <col min="25" max="25" width="12.5703125" style="131" customWidth="1"/>
    <col min="26" max="26" width="3.85546875" style="131" customWidth="1"/>
    <col min="27" max="27" width="12.5703125" style="131" customWidth="1"/>
    <col min="28" max="28" width="5.140625" style="131" customWidth="1"/>
    <col min="29" max="29" width="9.140625" style="131" customWidth="1"/>
    <col min="30" max="30" width="3.5703125" style="131" customWidth="1"/>
    <col min="31" max="31" width="11.42578125" customWidth="1"/>
    <col min="32" max="33" width="9.140625" style="131" customWidth="1"/>
    <col min="34" max="16384" width="9.140625" style="131"/>
  </cols>
  <sheetData>
    <row r="1" spans="1:32" ht="26.25">
      <c r="A1" s="155" t="s">
        <v>21</v>
      </c>
      <c r="B1" s="154"/>
      <c r="C1" s="154"/>
      <c r="D1" s="154"/>
      <c r="E1" s="154"/>
      <c r="F1" s="154"/>
      <c r="G1" s="197" t="s">
        <v>130</v>
      </c>
      <c r="H1" s="145"/>
      <c r="I1" s="197" t="s">
        <v>129</v>
      </c>
      <c r="J1" s="145"/>
      <c r="K1" s="197" t="s">
        <v>128</v>
      </c>
      <c r="L1" s="145"/>
      <c r="M1" s="197" t="s">
        <v>131</v>
      </c>
      <c r="N1" s="145"/>
      <c r="O1" s="197" t="s">
        <v>132</v>
      </c>
      <c r="P1" s="145"/>
      <c r="Q1" s="197" t="s">
        <v>133</v>
      </c>
      <c r="R1" s="145"/>
      <c r="S1" s="197" t="s">
        <v>134</v>
      </c>
      <c r="T1" s="145"/>
      <c r="U1" s="197" t="s">
        <v>135</v>
      </c>
      <c r="V1" s="145"/>
      <c r="W1" s="197" t="s">
        <v>136</v>
      </c>
      <c r="X1" s="145"/>
      <c r="Y1" s="197" t="s">
        <v>137</v>
      </c>
      <c r="Z1" s="145"/>
      <c r="AA1" s="197" t="s">
        <v>138</v>
      </c>
      <c r="AB1" s="153"/>
      <c r="AC1" s="136"/>
      <c r="AD1" s="136"/>
      <c r="AE1" s="131"/>
    </row>
    <row r="2" spans="1:32">
      <c r="G2" s="152" t="s">
        <v>91</v>
      </c>
      <c r="I2" s="178" t="s">
        <v>109</v>
      </c>
      <c r="K2" s="178" t="s">
        <v>119</v>
      </c>
      <c r="M2" s="152" t="s">
        <v>120</v>
      </c>
      <c r="O2" s="152" t="s">
        <v>121</v>
      </c>
      <c r="Q2" s="152" t="s">
        <v>122</v>
      </c>
      <c r="S2" s="152" t="s">
        <v>92</v>
      </c>
      <c r="U2" s="152" t="s">
        <v>110</v>
      </c>
      <c r="W2" s="152" t="s">
        <v>111</v>
      </c>
      <c r="Y2" s="152" t="s">
        <v>117</v>
      </c>
      <c r="AA2" s="152" t="s">
        <v>118</v>
      </c>
      <c r="AC2" s="151" t="s">
        <v>85</v>
      </c>
    </row>
    <row r="3" spans="1:32">
      <c r="B3" s="150" t="s">
        <v>5</v>
      </c>
      <c r="C3" s="150" t="s">
        <v>6</v>
      </c>
      <c r="D3" s="150" t="s">
        <v>7</v>
      </c>
      <c r="E3" s="150" t="s">
        <v>112</v>
      </c>
      <c r="F3" s="140"/>
      <c r="G3" s="150" t="s">
        <v>23</v>
      </c>
      <c r="H3" s="140"/>
      <c r="I3" s="150" t="s">
        <v>23</v>
      </c>
      <c r="J3" s="140"/>
      <c r="K3" s="150" t="s">
        <v>23</v>
      </c>
      <c r="L3" s="140"/>
      <c r="M3" s="150" t="s">
        <v>23</v>
      </c>
      <c r="N3" s="140"/>
      <c r="O3" s="150" t="s">
        <v>23</v>
      </c>
      <c r="P3" s="140"/>
      <c r="Q3" s="150" t="s">
        <v>23</v>
      </c>
      <c r="R3" s="140"/>
      <c r="S3" s="150" t="s">
        <v>23</v>
      </c>
      <c r="T3" s="140"/>
      <c r="U3" s="150" t="s">
        <v>23</v>
      </c>
      <c r="V3" s="140"/>
      <c r="W3" s="150" t="s">
        <v>23</v>
      </c>
      <c r="X3" s="140"/>
      <c r="Y3" s="150" t="s">
        <v>23</v>
      </c>
      <c r="Z3" s="140"/>
      <c r="AA3" s="150" t="s">
        <v>23</v>
      </c>
      <c r="AC3" s="150" t="s">
        <v>23</v>
      </c>
    </row>
    <row r="4" spans="1:32">
      <c r="B4" s="139">
        <v>1</v>
      </c>
      <c r="C4" s="149">
        <v>45008</v>
      </c>
      <c r="D4" s="133">
        <f t="shared" ref="D4:D35" si="0">EDATE(C4,1)</f>
        <v>45039</v>
      </c>
      <c r="E4" s="196">
        <v>4.7923600000000004</v>
      </c>
      <c r="F4" s="148"/>
      <c r="G4" s="135">
        <v>376.91999999999996</v>
      </c>
      <c r="H4" s="136">
        <v>-40</v>
      </c>
      <c r="I4" s="135">
        <v>324.27999999999997</v>
      </c>
      <c r="J4" s="136">
        <v>69</v>
      </c>
      <c r="K4" s="135">
        <v>290.24</v>
      </c>
      <c r="L4" s="145">
        <v>30</v>
      </c>
      <c r="M4" s="144">
        <v>279.40999999999997</v>
      </c>
      <c r="N4" s="136">
        <v>50</v>
      </c>
      <c r="O4" s="135">
        <v>269.46000000000004</v>
      </c>
      <c r="P4" s="136">
        <v>50</v>
      </c>
      <c r="Q4" s="135">
        <v>253.48000000000002</v>
      </c>
      <c r="R4" s="136">
        <v>30</v>
      </c>
      <c r="S4" s="135">
        <v>238.56</v>
      </c>
      <c r="T4" s="136">
        <v>20</v>
      </c>
      <c r="U4" s="135">
        <v>223.8</v>
      </c>
      <c r="V4" s="136">
        <v>-7</v>
      </c>
      <c r="W4" s="135">
        <v>206.35</v>
      </c>
      <c r="X4" s="136">
        <v>10</v>
      </c>
      <c r="Y4" s="135">
        <v>197.85</v>
      </c>
      <c r="Z4" s="136">
        <v>15</v>
      </c>
      <c r="AA4" s="144">
        <v>186.96</v>
      </c>
      <c r="AB4" s="146">
        <v>5</v>
      </c>
      <c r="AC4" s="144">
        <v>219.31</v>
      </c>
      <c r="AF4" s="147"/>
    </row>
    <row r="5" spans="1:32">
      <c r="B5" s="139">
        <f t="shared" ref="B5:B36" si="1">IF(C5="","",B4+1)</f>
        <v>2</v>
      </c>
      <c r="C5" s="133">
        <f t="shared" ref="C5:C36" si="2">EDATE(C4,1)</f>
        <v>45039</v>
      </c>
      <c r="D5" s="133">
        <f t="shared" si="0"/>
        <v>45069</v>
      </c>
      <c r="E5" s="196">
        <v>4.8988300000000002</v>
      </c>
      <c r="G5" s="135">
        <v>378.11</v>
      </c>
      <c r="H5" s="136">
        <v>20</v>
      </c>
      <c r="I5" s="135">
        <v>325.64</v>
      </c>
      <c r="J5" s="136">
        <v>40</v>
      </c>
      <c r="K5" s="135">
        <v>291.64</v>
      </c>
      <c r="L5" s="136">
        <v>-5</v>
      </c>
      <c r="M5" s="135">
        <v>280.78999999999996</v>
      </c>
      <c r="N5" s="136">
        <v>-15</v>
      </c>
      <c r="O5" s="135">
        <v>270.78999999999996</v>
      </c>
      <c r="P5" s="136">
        <v>-5</v>
      </c>
      <c r="Q5" s="135">
        <v>254.74</v>
      </c>
      <c r="R5" s="136">
        <v>-2</v>
      </c>
      <c r="S5" s="135">
        <v>239.71</v>
      </c>
      <c r="T5" s="136">
        <v>-5</v>
      </c>
      <c r="U5" s="135">
        <v>224.83</v>
      </c>
      <c r="V5" s="136">
        <v>10</v>
      </c>
      <c r="W5" s="135">
        <v>207.22</v>
      </c>
      <c r="X5" s="136">
        <v>5</v>
      </c>
      <c r="Y5" s="135">
        <v>198.53</v>
      </c>
      <c r="Z5" s="136">
        <v>-1</v>
      </c>
      <c r="AA5" s="144">
        <v>187.43</v>
      </c>
      <c r="AB5" s="146">
        <v>-4</v>
      </c>
      <c r="AC5" s="135">
        <v>220.38</v>
      </c>
    </row>
    <row r="6" spans="1:32">
      <c r="B6" s="139">
        <f t="shared" si="1"/>
        <v>3</v>
      </c>
      <c r="C6" s="133">
        <f t="shared" si="2"/>
        <v>45069</v>
      </c>
      <c r="D6" s="133">
        <f t="shared" si="0"/>
        <v>45100</v>
      </c>
      <c r="E6" s="196">
        <v>4.8788600000000004</v>
      </c>
      <c r="G6" s="135">
        <v>377.99</v>
      </c>
      <c r="H6" s="136">
        <v>7</v>
      </c>
      <c r="I6" s="135">
        <v>325.36</v>
      </c>
      <c r="J6" s="136">
        <v>2</v>
      </c>
      <c r="K6" s="135">
        <v>291.19</v>
      </c>
      <c r="L6" s="136">
        <v>-2</v>
      </c>
      <c r="M6" s="135">
        <v>280.25</v>
      </c>
      <c r="N6" s="136">
        <v>-12</v>
      </c>
      <c r="O6" s="135">
        <v>270.16999999999996</v>
      </c>
      <c r="P6" s="136">
        <v>15</v>
      </c>
      <c r="Q6" s="144">
        <v>254.03999999999996</v>
      </c>
      <c r="R6" s="136">
        <v>15</v>
      </c>
      <c r="S6" s="135">
        <v>238.95</v>
      </c>
      <c r="T6" s="136">
        <v>-1</v>
      </c>
      <c r="U6" s="135">
        <v>224.02</v>
      </c>
      <c r="V6" s="136">
        <v>13</v>
      </c>
      <c r="W6" s="135">
        <v>206.38</v>
      </c>
      <c r="X6" s="136">
        <v>-3</v>
      </c>
      <c r="Y6" s="135">
        <v>197.71</v>
      </c>
      <c r="Z6" s="136">
        <v>0</v>
      </c>
      <c r="AA6" s="144">
        <v>186.66</v>
      </c>
      <c r="AB6" s="198">
        <v>-6</v>
      </c>
      <c r="AC6" s="135">
        <v>219.85</v>
      </c>
    </row>
    <row r="7" spans="1:32">
      <c r="B7" s="139">
        <f t="shared" si="1"/>
        <v>4</v>
      </c>
      <c r="C7" s="133">
        <f t="shared" si="2"/>
        <v>45100</v>
      </c>
      <c r="D7" s="133">
        <f t="shared" si="0"/>
        <v>45130</v>
      </c>
      <c r="E7" s="196">
        <v>4.8112300000000001</v>
      </c>
      <c r="G7" s="135">
        <v>377.3</v>
      </c>
      <c r="H7" s="136">
        <v>10</v>
      </c>
      <c r="I7" s="135">
        <v>324.35000000000002</v>
      </c>
      <c r="J7" s="136">
        <v>-10</v>
      </c>
      <c r="K7" s="135">
        <v>289.91999999999996</v>
      </c>
      <c r="L7" s="136">
        <v>2</v>
      </c>
      <c r="M7" s="135">
        <v>278.87</v>
      </c>
      <c r="N7" s="136">
        <v>-10</v>
      </c>
      <c r="O7" s="135">
        <v>268.7</v>
      </c>
      <c r="P7" s="136">
        <v>-4</v>
      </c>
      <c r="Q7" s="135">
        <v>252.5</v>
      </c>
      <c r="R7" s="136">
        <v>3</v>
      </c>
      <c r="S7" s="135">
        <v>237.37</v>
      </c>
      <c r="T7" s="136">
        <v>-3.5</v>
      </c>
      <c r="U7" s="135">
        <v>222.43</v>
      </c>
      <c r="V7" s="136">
        <v>3</v>
      </c>
      <c r="W7" s="135">
        <v>204.85</v>
      </c>
      <c r="X7" s="136">
        <v>6</v>
      </c>
      <c r="Y7" s="135">
        <v>196.28</v>
      </c>
      <c r="Z7" s="136">
        <v>-3</v>
      </c>
      <c r="AA7" s="144">
        <v>185.41</v>
      </c>
      <c r="AB7" s="198">
        <v>-2</v>
      </c>
      <c r="AC7" s="135">
        <v>217.3</v>
      </c>
    </row>
    <row r="8" spans="1:32">
      <c r="B8" s="139">
        <f t="shared" si="1"/>
        <v>5</v>
      </c>
      <c r="C8" s="133">
        <f t="shared" si="2"/>
        <v>45130</v>
      </c>
      <c r="D8" s="133">
        <f t="shared" si="0"/>
        <v>45161</v>
      </c>
      <c r="E8" s="196">
        <v>4.5924199999999997</v>
      </c>
      <c r="G8" s="135">
        <v>378.09000000000003</v>
      </c>
      <c r="H8" s="136">
        <v>15</v>
      </c>
      <c r="I8" s="135">
        <v>325.22000000000003</v>
      </c>
      <c r="J8" s="136">
        <v>-20</v>
      </c>
      <c r="K8" s="135">
        <v>290.76</v>
      </c>
      <c r="L8" s="136">
        <v>20</v>
      </c>
      <c r="M8" s="135">
        <v>279.66999999999996</v>
      </c>
      <c r="N8" s="136">
        <v>-2</v>
      </c>
      <c r="O8" s="135">
        <v>269.44</v>
      </c>
      <c r="P8" s="136">
        <v>8</v>
      </c>
      <c r="Q8" s="135">
        <v>253.16999999999996</v>
      </c>
      <c r="R8" s="136">
        <v>-3</v>
      </c>
      <c r="S8" s="135">
        <v>237.94</v>
      </c>
      <c r="T8" s="145">
        <v>7</v>
      </c>
      <c r="U8" s="135">
        <v>222.9</v>
      </c>
      <c r="V8" s="136">
        <v>7</v>
      </c>
      <c r="W8" s="135">
        <v>205.19</v>
      </c>
      <c r="X8" s="136">
        <v>2</v>
      </c>
      <c r="Y8" s="135">
        <v>196.49</v>
      </c>
      <c r="Z8" s="136">
        <v>-6</v>
      </c>
      <c r="AA8" s="144">
        <v>185.47</v>
      </c>
      <c r="AB8" s="198"/>
      <c r="AC8" s="135">
        <v>217.73</v>
      </c>
    </row>
    <row r="9" spans="1:32">
      <c r="B9" s="139">
        <f t="shared" si="1"/>
        <v>6</v>
      </c>
      <c r="C9" s="133">
        <f t="shared" si="2"/>
        <v>45161</v>
      </c>
      <c r="D9" s="133">
        <f t="shared" si="0"/>
        <v>45192</v>
      </c>
      <c r="E9" s="196">
        <v>4.5594400000000004</v>
      </c>
      <c r="G9" s="135">
        <v>378.57</v>
      </c>
      <c r="H9" s="136">
        <v>20</v>
      </c>
      <c r="I9" s="135">
        <v>325.69</v>
      </c>
      <c r="J9" s="136">
        <v>-5</v>
      </c>
      <c r="K9" s="135">
        <v>291.15999999999997</v>
      </c>
      <c r="L9" s="136">
        <v>10</v>
      </c>
      <c r="M9" s="135">
        <v>280.02</v>
      </c>
      <c r="N9" s="136">
        <v>4</v>
      </c>
      <c r="O9" s="135">
        <v>269.72000000000003</v>
      </c>
      <c r="P9" s="136">
        <v>12</v>
      </c>
      <c r="Q9" s="135">
        <v>253.37</v>
      </c>
      <c r="R9" s="136">
        <v>5</v>
      </c>
      <c r="S9" s="135">
        <v>238.06</v>
      </c>
      <c r="T9" s="136">
        <v>2</v>
      </c>
      <c r="U9" s="135">
        <v>222.93</v>
      </c>
      <c r="V9" s="136">
        <v>1</v>
      </c>
      <c r="W9" s="135">
        <v>205.13</v>
      </c>
      <c r="X9" s="136">
        <v>-2</v>
      </c>
      <c r="Y9" s="135">
        <v>196.34</v>
      </c>
      <c r="Z9" s="136"/>
      <c r="AA9" s="144">
        <v>185.24</v>
      </c>
      <c r="AB9" s="198"/>
      <c r="AC9" s="135">
        <v>217.36</v>
      </c>
    </row>
    <row r="10" spans="1:32">
      <c r="B10" s="139">
        <f t="shared" si="1"/>
        <v>7</v>
      </c>
      <c r="C10" s="133">
        <f t="shared" si="2"/>
        <v>45192</v>
      </c>
      <c r="D10" s="133">
        <f t="shared" si="0"/>
        <v>45222</v>
      </c>
      <c r="E10" s="196">
        <v>4.4545500000000002</v>
      </c>
      <c r="G10" s="135">
        <v>376.5</v>
      </c>
      <c r="H10" s="136">
        <v>2</v>
      </c>
      <c r="I10" s="135">
        <v>322.96000000000004</v>
      </c>
      <c r="J10" s="136">
        <v>5</v>
      </c>
      <c r="K10" s="135">
        <v>287.96000000000004</v>
      </c>
      <c r="L10" s="136">
        <v>-5</v>
      </c>
      <c r="M10" s="135">
        <v>276.64</v>
      </c>
      <c r="N10" s="136"/>
      <c r="O10" s="135">
        <v>266.22000000000003</v>
      </c>
      <c r="P10" s="136"/>
      <c r="Q10" s="135">
        <v>249.81</v>
      </c>
      <c r="R10" s="136">
        <v>7</v>
      </c>
      <c r="S10" s="135">
        <v>234.52</v>
      </c>
      <c r="T10" s="136"/>
      <c r="U10" s="135">
        <v>219.51</v>
      </c>
      <c r="V10" s="136"/>
      <c r="W10" s="135">
        <v>201.95</v>
      </c>
      <c r="X10" s="136"/>
      <c r="Y10" s="135">
        <v>193.53</v>
      </c>
      <c r="Z10" s="136"/>
      <c r="AA10" s="144">
        <v>182.96</v>
      </c>
      <c r="AB10" s="198"/>
      <c r="AC10" s="135">
        <v>214.64</v>
      </c>
    </row>
    <row r="11" spans="1:32">
      <c r="B11" s="139">
        <f t="shared" si="1"/>
        <v>8</v>
      </c>
      <c r="C11" s="133">
        <f t="shared" si="2"/>
        <v>45222</v>
      </c>
      <c r="D11" s="133">
        <f t="shared" si="0"/>
        <v>45253</v>
      </c>
      <c r="E11" s="196">
        <v>4.3246399999999996</v>
      </c>
      <c r="G11" s="135">
        <v>376.98</v>
      </c>
      <c r="H11" s="136">
        <v>3</v>
      </c>
      <c r="I11" s="135">
        <v>323.41999999999996</v>
      </c>
      <c r="J11" s="136">
        <v>12</v>
      </c>
      <c r="K11" s="135">
        <v>288.33000000000004</v>
      </c>
      <c r="L11" s="136">
        <v>30</v>
      </c>
      <c r="M11" s="135">
        <v>276.95</v>
      </c>
      <c r="N11" s="136"/>
      <c r="O11" s="135">
        <v>266.46000000000004</v>
      </c>
      <c r="P11" s="136"/>
      <c r="Q11" s="135">
        <v>249.96000000000004</v>
      </c>
      <c r="R11" s="136"/>
      <c r="S11" s="135">
        <v>234.59</v>
      </c>
      <c r="T11" s="136"/>
      <c r="U11" s="135">
        <v>219.48</v>
      </c>
      <c r="V11" s="136"/>
      <c r="W11" s="135">
        <v>201.82</v>
      </c>
      <c r="X11" s="136"/>
      <c r="Y11" s="135">
        <v>193.31</v>
      </c>
      <c r="Z11" s="136"/>
      <c r="AA11" s="144">
        <v>182.66</v>
      </c>
      <c r="AB11" s="198"/>
      <c r="AC11" s="135">
        <v>214.87</v>
      </c>
    </row>
    <row r="12" spans="1:32">
      <c r="B12" s="139">
        <f t="shared" si="1"/>
        <v>9</v>
      </c>
      <c r="C12" s="133">
        <f t="shared" si="2"/>
        <v>45253</v>
      </c>
      <c r="D12" s="133">
        <f t="shared" si="0"/>
        <v>45283</v>
      </c>
      <c r="E12" s="196">
        <v>4.2565900000000001</v>
      </c>
      <c r="G12" s="135">
        <v>377.25</v>
      </c>
      <c r="H12" s="136">
        <v>50</v>
      </c>
      <c r="I12" s="135">
        <v>323.63</v>
      </c>
      <c r="J12" s="136"/>
      <c r="K12" s="135">
        <v>288.43</v>
      </c>
      <c r="L12" s="136"/>
      <c r="M12" s="135">
        <v>276.99</v>
      </c>
      <c r="N12" s="136"/>
      <c r="O12" s="135">
        <v>266.43</v>
      </c>
      <c r="P12" s="136"/>
      <c r="Q12" s="135">
        <v>249.86</v>
      </c>
      <c r="R12" s="136"/>
      <c r="S12" s="135">
        <v>234.41</v>
      </c>
      <c r="T12" s="136"/>
      <c r="U12" s="135">
        <v>219.23</v>
      </c>
      <c r="V12" s="136"/>
      <c r="W12" s="135">
        <v>201.51</v>
      </c>
      <c r="X12" s="136"/>
      <c r="Y12" s="135">
        <v>192.95</v>
      </c>
      <c r="Z12" s="136"/>
      <c r="AA12" s="144">
        <v>182.26</v>
      </c>
      <c r="AB12" s="198"/>
      <c r="AC12" s="135">
        <v>214.38</v>
      </c>
    </row>
    <row r="13" spans="1:32">
      <c r="B13" s="139">
        <f t="shared" si="1"/>
        <v>10</v>
      </c>
      <c r="C13" s="133">
        <f t="shared" si="2"/>
        <v>45283</v>
      </c>
      <c r="D13" s="133">
        <f t="shared" si="0"/>
        <v>45314</v>
      </c>
      <c r="E13" s="196">
        <v>4.1450800000000001</v>
      </c>
      <c r="G13" s="135">
        <v>378.5</v>
      </c>
      <c r="H13" s="145">
        <v>5</v>
      </c>
      <c r="I13" s="135">
        <v>325.07</v>
      </c>
      <c r="J13" s="136"/>
      <c r="K13" s="135">
        <v>289.91999999999996</v>
      </c>
      <c r="L13" s="136"/>
      <c r="M13" s="135">
        <v>278.46000000000004</v>
      </c>
      <c r="N13" s="136"/>
      <c r="O13" s="135">
        <v>267.85000000000002</v>
      </c>
      <c r="P13" s="136"/>
      <c r="Q13" s="135">
        <v>251.2</v>
      </c>
      <c r="R13" s="136"/>
      <c r="S13" s="135">
        <v>235.62</v>
      </c>
      <c r="T13" s="136"/>
      <c r="U13" s="135">
        <v>220.28</v>
      </c>
      <c r="V13" s="136"/>
      <c r="W13" s="135">
        <v>202.35</v>
      </c>
      <c r="X13" s="136"/>
      <c r="Y13" s="135">
        <v>193.54</v>
      </c>
      <c r="Z13" s="136"/>
      <c r="AA13" s="144">
        <v>182.57</v>
      </c>
      <c r="AB13" s="198"/>
      <c r="AC13" s="135">
        <v>212.28</v>
      </c>
    </row>
    <row r="14" spans="1:32">
      <c r="B14" s="139">
        <f t="shared" si="1"/>
        <v>11</v>
      </c>
      <c r="C14" s="133">
        <f t="shared" si="2"/>
        <v>45314</v>
      </c>
      <c r="D14" s="133">
        <f t="shared" si="0"/>
        <v>45345</v>
      </c>
      <c r="E14" s="196">
        <v>3.98333</v>
      </c>
      <c r="G14" s="135">
        <v>345.41999999999996</v>
      </c>
      <c r="H14" s="145">
        <v>3</v>
      </c>
      <c r="I14" s="135">
        <v>295.06</v>
      </c>
      <c r="J14" s="136"/>
      <c r="K14" s="135">
        <v>265.02</v>
      </c>
      <c r="L14" s="136"/>
      <c r="M14" s="135">
        <v>256.96000000000004</v>
      </c>
      <c r="N14" s="136"/>
      <c r="O14" s="135">
        <v>250.27999999999997</v>
      </c>
      <c r="P14" s="136"/>
      <c r="Q14" s="135">
        <v>237.98</v>
      </c>
      <c r="R14" s="136"/>
      <c r="S14" s="135">
        <v>227.03</v>
      </c>
      <c r="T14" s="136"/>
      <c r="U14" s="135">
        <v>216.43</v>
      </c>
      <c r="V14" s="136"/>
      <c r="W14" s="135">
        <v>203.24</v>
      </c>
      <c r="X14" s="136"/>
      <c r="Y14" s="135">
        <v>199.04</v>
      </c>
      <c r="Z14" s="136"/>
      <c r="AA14" s="144">
        <v>192.43</v>
      </c>
      <c r="AB14" s="198"/>
      <c r="AC14" s="135">
        <v>199.93</v>
      </c>
    </row>
    <row r="15" spans="1:32">
      <c r="B15" s="138">
        <f t="shared" si="1"/>
        <v>12</v>
      </c>
      <c r="C15" s="137">
        <f t="shared" si="2"/>
        <v>45345</v>
      </c>
      <c r="D15" s="137">
        <f t="shared" si="0"/>
        <v>45374</v>
      </c>
      <c r="E15" s="196">
        <v>3.9172400000000001</v>
      </c>
      <c r="G15" s="135">
        <v>309.15999999999997</v>
      </c>
      <c r="H15" s="136"/>
      <c r="I15" s="135">
        <v>261.71000000000004</v>
      </c>
      <c r="J15" s="136"/>
      <c r="K15" s="135">
        <v>236.75</v>
      </c>
      <c r="L15" s="136"/>
      <c r="M15" s="135">
        <v>232.17</v>
      </c>
      <c r="N15" s="136"/>
      <c r="O15" s="135">
        <v>229.56</v>
      </c>
      <c r="P15" s="136"/>
      <c r="Q15" s="135">
        <v>221.82</v>
      </c>
      <c r="R15" s="136"/>
      <c r="S15" s="135">
        <v>215.78</v>
      </c>
      <c r="T15" s="136"/>
      <c r="U15" s="135">
        <v>210.3</v>
      </c>
      <c r="V15" s="136"/>
      <c r="W15" s="135">
        <v>202.27</v>
      </c>
      <c r="X15" s="136"/>
      <c r="Y15" s="135">
        <v>203.15</v>
      </c>
      <c r="Z15" s="136"/>
      <c r="AA15" s="144">
        <v>201.42</v>
      </c>
      <c r="AB15" s="198"/>
      <c r="AC15" s="135">
        <v>184.55</v>
      </c>
    </row>
    <row r="16" spans="1:32">
      <c r="B16" s="139">
        <f t="shared" si="1"/>
        <v>13</v>
      </c>
      <c r="C16" s="133">
        <f t="shared" si="2"/>
        <v>45374</v>
      </c>
      <c r="D16" s="133">
        <f t="shared" si="0"/>
        <v>45405</v>
      </c>
      <c r="E16" s="196">
        <v>3.4337300000000002</v>
      </c>
      <c r="G16" s="135">
        <v>273.55</v>
      </c>
      <c r="H16" s="136"/>
      <c r="I16" s="135">
        <v>230.17</v>
      </c>
      <c r="J16" s="136"/>
      <c r="K16" s="135">
        <v>212.17</v>
      </c>
      <c r="L16" s="136"/>
      <c r="M16" s="135">
        <v>212.05</v>
      </c>
      <c r="N16" s="136"/>
      <c r="O16" s="135">
        <v>214.34</v>
      </c>
      <c r="P16" s="136"/>
      <c r="Q16" s="135">
        <v>211.78</v>
      </c>
      <c r="R16" s="136"/>
      <c r="S16" s="135">
        <v>211.07</v>
      </c>
      <c r="T16" s="136"/>
      <c r="U16" s="135">
        <v>210.94</v>
      </c>
      <c r="V16" s="136"/>
      <c r="W16" s="135">
        <v>208.2</v>
      </c>
      <c r="X16" s="136"/>
      <c r="Y16" s="135">
        <v>214.21</v>
      </c>
      <c r="Z16" s="136"/>
      <c r="AA16" s="144">
        <v>217.36</v>
      </c>
      <c r="AB16" s="198"/>
      <c r="AC16" s="135">
        <v>174.07</v>
      </c>
    </row>
    <row r="17" spans="2:29">
      <c r="B17" s="139">
        <f t="shared" si="1"/>
        <v>14</v>
      </c>
      <c r="C17" s="133">
        <f t="shared" si="2"/>
        <v>45405</v>
      </c>
      <c r="D17" s="133">
        <f t="shared" si="0"/>
        <v>45435</v>
      </c>
      <c r="E17" s="196">
        <v>3.4337300000000002</v>
      </c>
      <c r="G17" s="135">
        <v>271.26</v>
      </c>
      <c r="H17" s="136"/>
      <c r="I17" s="135">
        <v>227.63</v>
      </c>
      <c r="J17" s="136"/>
      <c r="K17" s="135">
        <v>209.41</v>
      </c>
      <c r="L17" s="136"/>
      <c r="M17" s="135">
        <v>209.26</v>
      </c>
      <c r="N17" s="136"/>
      <c r="O17" s="135">
        <v>211.62</v>
      </c>
      <c r="P17" s="136"/>
      <c r="Q17" s="135">
        <v>209.22</v>
      </c>
      <c r="R17" s="136"/>
      <c r="S17" s="135">
        <v>208.73</v>
      </c>
      <c r="T17" s="136"/>
      <c r="U17" s="135">
        <v>208.88</v>
      </c>
      <c r="V17" s="136"/>
      <c r="W17" s="135">
        <v>206.44</v>
      </c>
      <c r="X17" s="136"/>
      <c r="Y17" s="135">
        <v>212.76</v>
      </c>
      <c r="Z17" s="136"/>
      <c r="AA17" s="144">
        <v>216.24</v>
      </c>
      <c r="AB17" s="198"/>
      <c r="AC17" s="135">
        <v>171.79</v>
      </c>
    </row>
    <row r="18" spans="2:29">
      <c r="B18" s="139">
        <f t="shared" si="1"/>
        <v>15</v>
      </c>
      <c r="C18" s="133">
        <f t="shared" si="2"/>
        <v>45435</v>
      </c>
      <c r="D18" s="133">
        <f t="shared" si="0"/>
        <v>45466</v>
      </c>
      <c r="E18" s="196">
        <v>3.4333999999999998</v>
      </c>
      <c r="G18" s="135">
        <v>271.37</v>
      </c>
      <c r="H18" s="136"/>
      <c r="I18" s="135">
        <v>227.39</v>
      </c>
      <c r="J18" s="136"/>
      <c r="K18" s="135">
        <v>208.74</v>
      </c>
      <c r="L18" s="136"/>
      <c r="M18" s="135">
        <v>208.39</v>
      </c>
      <c r="N18" s="136"/>
      <c r="O18" s="135">
        <v>210.59</v>
      </c>
      <c r="P18" s="136"/>
      <c r="Q18" s="135">
        <v>208.07</v>
      </c>
      <c r="R18" s="136"/>
      <c r="S18" s="135">
        <v>207.5</v>
      </c>
      <c r="T18" s="136"/>
      <c r="U18" s="135">
        <v>207.61</v>
      </c>
      <c r="V18" s="136"/>
      <c r="W18" s="135">
        <v>205.15</v>
      </c>
      <c r="X18" s="136"/>
      <c r="Y18" s="135">
        <v>211.46</v>
      </c>
      <c r="Z18" s="136"/>
      <c r="AA18" s="144">
        <v>214.94</v>
      </c>
      <c r="AB18" s="198"/>
      <c r="AC18" s="135">
        <v>171.09</v>
      </c>
    </row>
    <row r="19" spans="2:29">
      <c r="B19" s="139">
        <f t="shared" si="1"/>
        <v>16</v>
      </c>
      <c r="C19" s="133">
        <f t="shared" si="2"/>
        <v>45466</v>
      </c>
      <c r="D19" s="133">
        <f t="shared" si="0"/>
        <v>45496</v>
      </c>
      <c r="E19" s="196">
        <v>3.4332400000000001</v>
      </c>
      <c r="G19" s="135">
        <v>271.34000000000003</v>
      </c>
      <c r="H19" s="136"/>
      <c r="I19" s="135">
        <v>227.93</v>
      </c>
      <c r="J19" s="136"/>
      <c r="K19" s="135">
        <v>210.23</v>
      </c>
      <c r="L19" s="136"/>
      <c r="M19" s="135">
        <v>210.39</v>
      </c>
      <c r="N19" s="136"/>
      <c r="O19" s="135">
        <v>213.03</v>
      </c>
      <c r="P19" s="136"/>
      <c r="Q19" s="135">
        <v>210.86</v>
      </c>
      <c r="R19" s="136"/>
      <c r="S19" s="135">
        <v>210.55</v>
      </c>
      <c r="T19" s="136"/>
      <c r="U19" s="135">
        <v>210.83</v>
      </c>
      <c r="V19" s="136"/>
      <c r="W19" s="135">
        <v>208.49</v>
      </c>
      <c r="X19" s="136"/>
      <c r="Y19" s="135">
        <v>214.88</v>
      </c>
      <c r="Z19" s="136"/>
      <c r="AA19" s="144">
        <v>218.4</v>
      </c>
      <c r="AB19" s="198"/>
      <c r="AC19" s="135">
        <v>173.4</v>
      </c>
    </row>
    <row r="20" spans="2:29">
      <c r="B20" s="139">
        <f t="shared" si="1"/>
        <v>17</v>
      </c>
      <c r="C20" s="133">
        <f t="shared" si="2"/>
        <v>45496</v>
      </c>
      <c r="D20" s="133">
        <f t="shared" si="0"/>
        <v>45527</v>
      </c>
      <c r="E20" s="196">
        <v>3.4335599999999999</v>
      </c>
      <c r="G20" s="135">
        <v>271.45</v>
      </c>
      <c r="H20" s="136"/>
      <c r="I20" s="135">
        <v>227.6</v>
      </c>
      <c r="J20" s="136"/>
      <c r="K20" s="135">
        <v>209.37</v>
      </c>
      <c r="L20" s="136"/>
      <c r="M20" s="135">
        <v>209.29</v>
      </c>
      <c r="N20" s="136"/>
      <c r="O20" s="135">
        <v>211.75</v>
      </c>
      <c r="P20" s="136"/>
      <c r="Q20" s="135">
        <v>209.44</v>
      </c>
      <c r="R20" s="136"/>
      <c r="S20" s="135">
        <v>209.04</v>
      </c>
      <c r="T20" s="136"/>
      <c r="U20" s="135">
        <v>209.26</v>
      </c>
      <c r="V20" s="136"/>
      <c r="W20" s="135">
        <v>206.89</v>
      </c>
      <c r="X20" s="136"/>
      <c r="Y20" s="135">
        <v>213.28</v>
      </c>
      <c r="Z20" s="136"/>
      <c r="AA20" s="144">
        <v>216.8</v>
      </c>
      <c r="AB20" s="198"/>
      <c r="AC20" s="135">
        <v>171.75</v>
      </c>
    </row>
    <row r="21" spans="2:29">
      <c r="B21" s="139">
        <f t="shared" si="1"/>
        <v>18</v>
      </c>
      <c r="C21" s="133">
        <f t="shared" si="2"/>
        <v>45527</v>
      </c>
      <c r="D21" s="133">
        <f t="shared" si="0"/>
        <v>45558</v>
      </c>
      <c r="E21" s="196">
        <v>3.4333999999999998</v>
      </c>
      <c r="G21" s="135">
        <v>271.56</v>
      </c>
      <c r="H21" s="136"/>
      <c r="I21" s="135">
        <v>227.43</v>
      </c>
      <c r="J21" s="136"/>
      <c r="K21" s="135">
        <v>208.87</v>
      </c>
      <c r="L21" s="136"/>
      <c r="M21" s="135">
        <v>208.65</v>
      </c>
      <c r="N21" s="136"/>
      <c r="O21" s="135">
        <v>211</v>
      </c>
      <c r="P21" s="136"/>
      <c r="Q21" s="135">
        <v>208.62</v>
      </c>
      <c r="R21" s="136"/>
      <c r="S21" s="135">
        <v>208.17</v>
      </c>
      <c r="T21" s="136"/>
      <c r="U21" s="135">
        <v>208.37</v>
      </c>
      <c r="V21" s="136"/>
      <c r="W21" s="135">
        <v>206</v>
      </c>
      <c r="X21" s="136"/>
      <c r="Y21" s="135">
        <v>212.38</v>
      </c>
      <c r="Z21" s="136"/>
      <c r="AA21" s="144">
        <v>215.91</v>
      </c>
      <c r="AB21" s="198"/>
      <c r="AC21" s="135">
        <v>171.29</v>
      </c>
    </row>
    <row r="22" spans="2:29">
      <c r="B22" s="139">
        <f t="shared" si="1"/>
        <v>19</v>
      </c>
      <c r="C22" s="133">
        <f t="shared" si="2"/>
        <v>45558</v>
      </c>
      <c r="D22" s="133">
        <f t="shared" si="0"/>
        <v>45588</v>
      </c>
      <c r="E22" s="196">
        <v>3.0545499999999999</v>
      </c>
      <c r="G22" s="135">
        <v>271.65999999999997</v>
      </c>
      <c r="H22" s="136"/>
      <c r="I22" s="135">
        <v>227.3</v>
      </c>
      <c r="J22" s="136"/>
      <c r="K22" s="135">
        <v>208.52</v>
      </c>
      <c r="L22" s="136"/>
      <c r="M22" s="135">
        <v>208.2</v>
      </c>
      <c r="N22" s="136"/>
      <c r="O22" s="135">
        <v>210.48</v>
      </c>
      <c r="P22" s="136"/>
      <c r="Q22" s="135">
        <v>208.06</v>
      </c>
      <c r="R22" s="136"/>
      <c r="S22" s="135">
        <v>207.59</v>
      </c>
      <c r="T22" s="136"/>
      <c r="U22" s="135">
        <v>207.78</v>
      </c>
      <c r="V22" s="136"/>
      <c r="W22" s="135">
        <v>205.41</v>
      </c>
      <c r="X22" s="136"/>
      <c r="Y22" s="135">
        <v>211.8</v>
      </c>
      <c r="Z22" s="136"/>
      <c r="AA22" s="144">
        <v>215.34</v>
      </c>
      <c r="AB22" s="198"/>
      <c r="AC22" s="135">
        <v>171.5</v>
      </c>
    </row>
    <row r="23" spans="2:29">
      <c r="B23" s="139">
        <f t="shared" si="1"/>
        <v>20</v>
      </c>
      <c r="C23" s="133">
        <f t="shared" si="2"/>
        <v>45588</v>
      </c>
      <c r="D23" s="133">
        <f t="shared" si="0"/>
        <v>45619</v>
      </c>
      <c r="E23" s="196">
        <v>2.96001</v>
      </c>
      <c r="G23" s="135">
        <v>271.7</v>
      </c>
      <c r="H23" s="136"/>
      <c r="I23" s="135">
        <v>227.35</v>
      </c>
      <c r="J23" s="136"/>
      <c r="K23" s="135">
        <v>208.69</v>
      </c>
      <c r="L23" s="136"/>
      <c r="M23" s="135">
        <v>208.46</v>
      </c>
      <c r="N23" s="136"/>
      <c r="O23" s="135">
        <v>210.82</v>
      </c>
      <c r="P23" s="136"/>
      <c r="Q23" s="135">
        <v>208.47</v>
      </c>
      <c r="R23" s="136"/>
      <c r="S23" s="135">
        <v>208.06</v>
      </c>
      <c r="T23" s="136"/>
      <c r="U23" s="135">
        <v>208.3</v>
      </c>
      <c r="V23" s="136"/>
      <c r="W23" s="135">
        <v>205.96</v>
      </c>
      <c r="X23" s="136"/>
      <c r="Y23" s="135">
        <v>212.37</v>
      </c>
      <c r="Z23" s="136"/>
      <c r="AA23" s="144">
        <v>215.93</v>
      </c>
      <c r="AB23" s="198"/>
      <c r="AC23" s="135">
        <v>170.58</v>
      </c>
    </row>
    <row r="24" spans="2:29">
      <c r="B24" s="139">
        <f t="shared" si="1"/>
        <v>21</v>
      </c>
      <c r="C24" s="133">
        <f t="shared" si="2"/>
        <v>45619</v>
      </c>
      <c r="D24" s="133">
        <f t="shared" si="0"/>
        <v>45649</v>
      </c>
      <c r="E24" s="196">
        <v>2.9598900000000001</v>
      </c>
      <c r="G24" s="135">
        <v>271.75</v>
      </c>
      <c r="H24" s="136"/>
      <c r="I24" s="135">
        <v>227.35</v>
      </c>
      <c r="J24" s="136"/>
      <c r="K24" s="135">
        <v>208.72</v>
      </c>
      <c r="L24" s="136"/>
      <c r="M24" s="135">
        <v>208.54</v>
      </c>
      <c r="N24" s="136"/>
      <c r="O24" s="135">
        <v>210.95</v>
      </c>
      <c r="P24" s="136"/>
      <c r="Q24" s="135">
        <v>208.64</v>
      </c>
      <c r="R24" s="136"/>
      <c r="S24" s="135">
        <v>208.26</v>
      </c>
      <c r="T24" s="136"/>
      <c r="U24" s="135">
        <v>208.53</v>
      </c>
      <c r="V24" s="136"/>
      <c r="W24" s="135">
        <v>206.22</v>
      </c>
      <c r="X24" s="136"/>
      <c r="Y24" s="135">
        <v>212.66</v>
      </c>
      <c r="Z24" s="136"/>
      <c r="AA24" s="144">
        <v>216.24</v>
      </c>
      <c r="AB24" s="198"/>
      <c r="AC24" s="135">
        <v>170.36</v>
      </c>
    </row>
    <row r="25" spans="2:29">
      <c r="B25" s="139">
        <f t="shared" si="1"/>
        <v>22</v>
      </c>
      <c r="C25" s="133">
        <f t="shared" si="2"/>
        <v>45649</v>
      </c>
      <c r="D25" s="133">
        <f t="shared" si="0"/>
        <v>45680</v>
      </c>
      <c r="E25" s="196">
        <v>2.96014</v>
      </c>
      <c r="G25" s="135">
        <v>271.76</v>
      </c>
      <c r="H25" s="136"/>
      <c r="I25" s="135">
        <v>227.06</v>
      </c>
      <c r="J25" s="136"/>
      <c r="K25" s="135">
        <v>207.95</v>
      </c>
      <c r="L25" s="136"/>
      <c r="M25" s="135">
        <v>207.5</v>
      </c>
      <c r="N25" s="136"/>
      <c r="O25" s="135">
        <v>209.67</v>
      </c>
      <c r="P25" s="136"/>
      <c r="Q25" s="135">
        <v>207.14</v>
      </c>
      <c r="R25" s="136"/>
      <c r="S25" s="135">
        <v>206.59</v>
      </c>
      <c r="T25" s="136"/>
      <c r="U25" s="135">
        <v>206.71</v>
      </c>
      <c r="V25" s="136"/>
      <c r="W25" s="135">
        <v>204.26</v>
      </c>
      <c r="X25" s="136"/>
      <c r="Y25" s="135">
        <v>210.58</v>
      </c>
      <c r="Z25" s="136"/>
      <c r="AA25" s="144">
        <v>214.06</v>
      </c>
      <c r="AB25" s="198"/>
      <c r="AC25" s="135">
        <v>171</v>
      </c>
    </row>
    <row r="26" spans="2:29">
      <c r="B26" s="139">
        <f t="shared" si="1"/>
        <v>23</v>
      </c>
      <c r="C26" s="133">
        <f t="shared" si="2"/>
        <v>45680</v>
      </c>
      <c r="D26" s="133">
        <f t="shared" si="0"/>
        <v>45711</v>
      </c>
      <c r="E26" s="196">
        <v>2.96001</v>
      </c>
      <c r="G26" s="135">
        <v>269.47000000000003</v>
      </c>
      <c r="H26" s="136"/>
      <c r="I26" s="135">
        <v>225.86</v>
      </c>
      <c r="J26" s="136"/>
      <c r="K26" s="135">
        <v>206.45</v>
      </c>
      <c r="L26" s="136"/>
      <c r="M26" s="135">
        <v>205.24</v>
      </c>
      <c r="N26" s="136"/>
      <c r="O26" s="135">
        <v>206.31</v>
      </c>
      <c r="P26" s="136"/>
      <c r="Q26" s="135">
        <v>202.46</v>
      </c>
      <c r="R26" s="136"/>
      <c r="S26" s="135">
        <v>200.43</v>
      </c>
      <c r="T26" s="136"/>
      <c r="U26" s="135">
        <v>199</v>
      </c>
      <c r="V26" s="136"/>
      <c r="W26" s="135">
        <v>194.98</v>
      </c>
      <c r="X26" s="136"/>
      <c r="Y26" s="135">
        <v>199.72</v>
      </c>
      <c r="Z26" s="136"/>
      <c r="AA26" s="144">
        <v>201.64</v>
      </c>
      <c r="AB26" s="198"/>
      <c r="AC26" s="135">
        <v>164.01</v>
      </c>
    </row>
    <row r="27" spans="2:29">
      <c r="B27" s="138">
        <f t="shared" si="1"/>
        <v>24</v>
      </c>
      <c r="C27" s="137">
        <f t="shared" si="2"/>
        <v>45711</v>
      </c>
      <c r="D27" s="137">
        <f t="shared" si="0"/>
        <v>45739</v>
      </c>
      <c r="E27" s="196">
        <v>2.9596499999999999</v>
      </c>
      <c r="G27" s="135">
        <v>266.64999999999998</v>
      </c>
      <c r="H27" s="136"/>
      <c r="I27" s="135">
        <v>224.39</v>
      </c>
      <c r="J27" s="136"/>
      <c r="K27" s="135">
        <v>204.99</v>
      </c>
      <c r="L27" s="136"/>
      <c r="M27" s="135">
        <v>203.15</v>
      </c>
      <c r="N27" s="136"/>
      <c r="O27" s="135">
        <v>203.19</v>
      </c>
      <c r="P27" s="136"/>
      <c r="Q27" s="135">
        <v>198.02</v>
      </c>
      <c r="R27" s="136"/>
      <c r="S27" s="135">
        <v>194.47</v>
      </c>
      <c r="T27" s="136"/>
      <c r="U27" s="135">
        <v>191.41</v>
      </c>
      <c r="V27" s="136"/>
      <c r="W27" s="135">
        <v>185.72</v>
      </c>
      <c r="X27" s="136"/>
      <c r="Y27" s="135">
        <v>188.78</v>
      </c>
      <c r="Z27" s="136"/>
      <c r="AA27" s="144">
        <v>189.02</v>
      </c>
      <c r="AB27" s="198">
        <v>2</v>
      </c>
      <c r="AC27" s="135">
        <v>156.96</v>
      </c>
    </row>
    <row r="28" spans="2:29">
      <c r="B28" s="139">
        <f t="shared" si="1"/>
        <v>25</v>
      </c>
      <c r="C28" s="133">
        <f t="shared" si="2"/>
        <v>45739</v>
      </c>
      <c r="D28" s="133">
        <f t="shared" si="0"/>
        <v>45770</v>
      </c>
      <c r="E28" s="196">
        <v>2.8767399999999999</v>
      </c>
      <c r="G28" s="135">
        <v>200.17</v>
      </c>
      <c r="H28" s="136"/>
      <c r="I28" s="135">
        <v>184.85</v>
      </c>
      <c r="J28" s="136"/>
      <c r="K28" s="135">
        <v>171.5</v>
      </c>
      <c r="L28" s="136"/>
      <c r="M28" s="135">
        <v>175.62</v>
      </c>
      <c r="N28" s="136">
        <v>1</v>
      </c>
      <c r="O28" s="135">
        <v>176.23</v>
      </c>
      <c r="P28" s="136">
        <v>1</v>
      </c>
      <c r="Q28" s="135">
        <v>178.28</v>
      </c>
      <c r="R28" s="136">
        <v>1</v>
      </c>
      <c r="S28" s="135">
        <v>185.7</v>
      </c>
      <c r="T28" s="136">
        <v>1</v>
      </c>
      <c r="U28" s="135">
        <v>190.44</v>
      </c>
      <c r="V28" s="136">
        <v>1</v>
      </c>
      <c r="W28" s="135">
        <v>188.43</v>
      </c>
      <c r="X28" s="136">
        <v>1</v>
      </c>
      <c r="Y28" s="135">
        <v>194.62</v>
      </c>
      <c r="Z28" s="136">
        <v>1</v>
      </c>
      <c r="AA28" s="144">
        <v>196.96</v>
      </c>
      <c r="AB28" s="198">
        <v>1</v>
      </c>
      <c r="AC28" s="135">
        <v>152.32</v>
      </c>
    </row>
    <row r="29" spans="2:29">
      <c r="B29" s="139">
        <f t="shared" si="1"/>
        <v>26</v>
      </c>
      <c r="C29" s="133">
        <f t="shared" si="2"/>
        <v>45770</v>
      </c>
      <c r="D29" s="133">
        <f t="shared" si="0"/>
        <v>45800</v>
      </c>
      <c r="E29" s="196">
        <v>2.86172</v>
      </c>
      <c r="G29" s="135">
        <v>200.14</v>
      </c>
      <c r="H29" s="136"/>
      <c r="I29" s="135">
        <v>184.88</v>
      </c>
      <c r="J29" s="136"/>
      <c r="K29" s="135">
        <v>171.56</v>
      </c>
      <c r="L29" s="136"/>
      <c r="M29" s="135">
        <v>175.67</v>
      </c>
      <c r="N29" s="136"/>
      <c r="O29" s="135">
        <v>176.25</v>
      </c>
      <c r="P29" s="136">
        <v>-1</v>
      </c>
      <c r="Q29" s="135">
        <v>178.27</v>
      </c>
      <c r="R29" s="136"/>
      <c r="S29" s="135">
        <v>185.65</v>
      </c>
      <c r="T29" s="136"/>
      <c r="U29" s="135">
        <v>190.35</v>
      </c>
      <c r="V29" s="136">
        <v>-1</v>
      </c>
      <c r="W29" s="135">
        <v>188.29</v>
      </c>
      <c r="X29" s="136"/>
      <c r="Y29" s="135">
        <v>194.42</v>
      </c>
      <c r="Z29" s="136"/>
      <c r="AA29" s="144">
        <v>196.72</v>
      </c>
      <c r="AB29" s="198"/>
      <c r="AC29" s="135">
        <v>152.33000000000001</v>
      </c>
    </row>
    <row r="30" spans="2:29">
      <c r="B30" s="139">
        <f t="shared" si="1"/>
        <v>27</v>
      </c>
      <c r="C30" s="133">
        <f t="shared" si="2"/>
        <v>45800</v>
      </c>
      <c r="D30" s="133">
        <f t="shared" si="0"/>
        <v>45831</v>
      </c>
      <c r="E30" s="196">
        <v>2.8618299999999999</v>
      </c>
      <c r="G30" s="135">
        <v>200.14</v>
      </c>
      <c r="H30" s="136"/>
      <c r="I30" s="135">
        <v>184.88</v>
      </c>
      <c r="J30" s="136"/>
      <c r="K30" s="135">
        <v>171.56</v>
      </c>
      <c r="L30" s="136"/>
      <c r="M30" s="135">
        <v>175.67</v>
      </c>
      <c r="N30" s="136"/>
      <c r="O30" s="135">
        <v>176.25</v>
      </c>
      <c r="P30" s="136"/>
      <c r="Q30" s="135">
        <v>178.27</v>
      </c>
      <c r="R30" s="136"/>
      <c r="S30" s="135">
        <v>185.65</v>
      </c>
      <c r="T30" s="136"/>
      <c r="U30" s="135">
        <v>190.34</v>
      </c>
      <c r="V30" s="136"/>
      <c r="W30" s="135">
        <v>188.28</v>
      </c>
      <c r="X30" s="136"/>
      <c r="Y30" s="135">
        <v>194.42</v>
      </c>
      <c r="Z30" s="136"/>
      <c r="AA30" s="144">
        <v>196.72</v>
      </c>
      <c r="AC30" s="135">
        <v>152.33000000000001</v>
      </c>
    </row>
    <row r="31" spans="2:29">
      <c r="B31" s="139">
        <f t="shared" si="1"/>
        <v>28</v>
      </c>
      <c r="C31" s="133">
        <f t="shared" si="2"/>
        <v>45831</v>
      </c>
      <c r="D31" s="133">
        <f t="shared" si="0"/>
        <v>45861</v>
      </c>
      <c r="E31" s="196">
        <v>2.8614899999999999</v>
      </c>
      <c r="G31" s="135">
        <v>200.14</v>
      </c>
      <c r="H31" s="136"/>
      <c r="I31" s="135">
        <v>184.88</v>
      </c>
      <c r="J31" s="136"/>
      <c r="K31" s="135">
        <v>171.56</v>
      </c>
      <c r="L31" s="136"/>
      <c r="M31" s="135">
        <v>175.67</v>
      </c>
      <c r="N31" s="136"/>
      <c r="O31" s="135">
        <v>176.26</v>
      </c>
      <c r="P31" s="136"/>
      <c r="Q31" s="135">
        <v>178.27</v>
      </c>
      <c r="R31" s="136"/>
      <c r="S31" s="135">
        <v>185.65</v>
      </c>
      <c r="T31" s="136"/>
      <c r="U31" s="135">
        <v>190.34</v>
      </c>
      <c r="V31" s="136"/>
      <c r="W31" s="135">
        <v>188.28</v>
      </c>
      <c r="X31" s="136"/>
      <c r="Y31" s="135">
        <v>194.42</v>
      </c>
      <c r="Z31" s="136"/>
      <c r="AA31" s="144">
        <v>196.72</v>
      </c>
      <c r="AC31" s="135">
        <v>152.33000000000001</v>
      </c>
    </row>
    <row r="32" spans="2:29">
      <c r="B32" s="139">
        <f t="shared" si="1"/>
        <v>29</v>
      </c>
      <c r="C32" s="133">
        <f t="shared" si="2"/>
        <v>45861</v>
      </c>
      <c r="D32" s="133">
        <f t="shared" si="0"/>
        <v>45892</v>
      </c>
      <c r="E32" s="196">
        <v>2.8616000000000001</v>
      </c>
      <c r="G32" s="135">
        <v>200.13</v>
      </c>
      <c r="H32" s="136"/>
      <c r="I32" s="135">
        <v>184.88</v>
      </c>
      <c r="J32" s="136"/>
      <c r="K32" s="135">
        <v>171.56</v>
      </c>
      <c r="L32" s="136"/>
      <c r="M32" s="135">
        <v>175.66</v>
      </c>
      <c r="N32" s="136"/>
      <c r="O32" s="135">
        <v>176.25</v>
      </c>
      <c r="P32" s="136"/>
      <c r="Q32" s="135">
        <v>178.26</v>
      </c>
      <c r="R32" s="136"/>
      <c r="S32" s="135">
        <v>185.65</v>
      </c>
      <c r="T32" s="136"/>
      <c r="U32" s="135">
        <v>190.34</v>
      </c>
      <c r="V32" s="136"/>
      <c r="W32" s="135">
        <v>188.28</v>
      </c>
      <c r="X32" s="136"/>
      <c r="Y32" s="135">
        <v>194.41</v>
      </c>
      <c r="Z32" s="136"/>
      <c r="AA32" s="144">
        <v>196.71</v>
      </c>
      <c r="AC32" s="135">
        <v>152.33000000000001</v>
      </c>
    </row>
    <row r="33" spans="2:29">
      <c r="B33" s="139">
        <f t="shared" si="1"/>
        <v>30</v>
      </c>
      <c r="C33" s="133">
        <f t="shared" si="2"/>
        <v>45892</v>
      </c>
      <c r="D33" s="133">
        <f t="shared" si="0"/>
        <v>45923</v>
      </c>
      <c r="E33" s="196">
        <v>2.8618299999999999</v>
      </c>
      <c r="G33" s="135">
        <v>200.14</v>
      </c>
      <c r="H33" s="136"/>
      <c r="I33" s="135">
        <v>184.88</v>
      </c>
      <c r="J33" s="136"/>
      <c r="K33" s="135">
        <v>171.56</v>
      </c>
      <c r="L33" s="136"/>
      <c r="M33" s="135">
        <v>175.67</v>
      </c>
      <c r="N33" s="136"/>
      <c r="O33" s="135">
        <v>176.26</v>
      </c>
      <c r="P33" s="136"/>
      <c r="Q33" s="135">
        <v>178.27</v>
      </c>
      <c r="R33" s="136"/>
      <c r="S33" s="135">
        <v>185.65</v>
      </c>
      <c r="T33" s="136"/>
      <c r="U33" s="135">
        <v>190.34</v>
      </c>
      <c r="V33" s="136"/>
      <c r="W33" s="135">
        <v>188.28</v>
      </c>
      <c r="X33" s="136"/>
      <c r="Y33" s="135">
        <v>194.42</v>
      </c>
      <c r="Z33" s="136"/>
      <c r="AA33" s="144">
        <v>196.72</v>
      </c>
      <c r="AC33" s="135">
        <v>152.32</v>
      </c>
    </row>
    <row r="34" spans="2:29">
      <c r="B34" s="139">
        <f t="shared" si="1"/>
        <v>31</v>
      </c>
      <c r="C34" s="133">
        <f t="shared" si="2"/>
        <v>45923</v>
      </c>
      <c r="D34" s="133">
        <f t="shared" si="0"/>
        <v>45953</v>
      </c>
      <c r="E34" s="196">
        <v>2.86172</v>
      </c>
      <c r="G34" s="135">
        <v>200.13</v>
      </c>
      <c r="H34" s="136"/>
      <c r="I34" s="135">
        <v>184.88</v>
      </c>
      <c r="J34" s="136"/>
      <c r="K34" s="135">
        <v>171.56</v>
      </c>
      <c r="L34" s="136"/>
      <c r="M34" s="135">
        <v>175.67</v>
      </c>
      <c r="N34" s="136"/>
      <c r="O34" s="135">
        <v>176.25</v>
      </c>
      <c r="P34" s="136"/>
      <c r="Q34" s="135">
        <v>178.27</v>
      </c>
      <c r="R34" s="136"/>
      <c r="S34" s="135">
        <v>185.65</v>
      </c>
      <c r="T34" s="136"/>
      <c r="U34" s="135">
        <v>190.34</v>
      </c>
      <c r="V34" s="136"/>
      <c r="W34" s="135">
        <v>188.28</v>
      </c>
      <c r="X34" s="136"/>
      <c r="Y34" s="135">
        <v>194.42</v>
      </c>
      <c r="Z34" s="136"/>
      <c r="AA34" s="144">
        <v>196.71</v>
      </c>
      <c r="AC34" s="135">
        <v>152.33000000000001</v>
      </c>
    </row>
    <row r="35" spans="2:29">
      <c r="B35" s="139">
        <f t="shared" si="1"/>
        <v>32</v>
      </c>
      <c r="C35" s="133">
        <f t="shared" si="2"/>
        <v>45953</v>
      </c>
      <c r="D35" s="133">
        <f t="shared" si="0"/>
        <v>45984</v>
      </c>
      <c r="E35" s="196">
        <v>2.86172</v>
      </c>
      <c r="G35" s="135">
        <v>200.13</v>
      </c>
      <c r="H35" s="136"/>
      <c r="I35" s="135">
        <v>184.88</v>
      </c>
      <c r="J35" s="136"/>
      <c r="K35" s="135">
        <v>171.56</v>
      </c>
      <c r="L35" s="136"/>
      <c r="M35" s="135">
        <v>175.67</v>
      </c>
      <c r="N35" s="136"/>
      <c r="O35" s="135">
        <v>176.25</v>
      </c>
      <c r="P35" s="136"/>
      <c r="Q35" s="135">
        <v>178.27</v>
      </c>
      <c r="R35" s="136"/>
      <c r="S35" s="135">
        <v>185.65</v>
      </c>
      <c r="T35" s="136"/>
      <c r="U35" s="135">
        <v>190.34</v>
      </c>
      <c r="V35" s="136"/>
      <c r="W35" s="135">
        <v>188.27</v>
      </c>
      <c r="X35" s="136"/>
      <c r="Y35" s="135">
        <v>194.41</v>
      </c>
      <c r="Z35" s="136"/>
      <c r="AA35" s="144">
        <v>196.7</v>
      </c>
      <c r="AC35" s="135">
        <v>152.32</v>
      </c>
    </row>
    <row r="36" spans="2:29">
      <c r="B36" s="139">
        <f t="shared" si="1"/>
        <v>33</v>
      </c>
      <c r="C36" s="133">
        <f t="shared" si="2"/>
        <v>45984</v>
      </c>
      <c r="D36" s="133">
        <f t="shared" ref="D36:D67" si="3">EDATE(C36,1)</f>
        <v>46014</v>
      </c>
      <c r="E36" s="196">
        <v>2.8614899999999999</v>
      </c>
      <c r="G36" s="135">
        <v>200.13</v>
      </c>
      <c r="H36" s="136"/>
      <c r="I36" s="135">
        <v>184.88</v>
      </c>
      <c r="J36" s="136"/>
      <c r="K36" s="135">
        <v>171.56</v>
      </c>
      <c r="L36" s="136"/>
      <c r="M36" s="135">
        <v>175.67</v>
      </c>
      <c r="N36" s="136"/>
      <c r="O36" s="135">
        <v>176.25</v>
      </c>
      <c r="P36" s="136"/>
      <c r="Q36" s="135">
        <v>178.27</v>
      </c>
      <c r="R36" s="136"/>
      <c r="S36" s="135">
        <v>185.65</v>
      </c>
      <c r="T36" s="136"/>
      <c r="U36" s="135">
        <v>190.34</v>
      </c>
      <c r="V36" s="136"/>
      <c r="W36" s="135">
        <v>188.28</v>
      </c>
      <c r="X36" s="136"/>
      <c r="Y36" s="135">
        <v>194.42</v>
      </c>
      <c r="Z36" s="136"/>
      <c r="AA36" s="144">
        <v>196.71</v>
      </c>
      <c r="AC36" s="135">
        <v>152.32</v>
      </c>
    </row>
    <row r="37" spans="2:29">
      <c r="B37" s="139">
        <f t="shared" ref="B37:B68" si="4">IF(C37="","",B36+1)</f>
        <v>34</v>
      </c>
      <c r="C37" s="133">
        <f t="shared" ref="C37:C68" si="5">EDATE(C36,1)</f>
        <v>46014</v>
      </c>
      <c r="D37" s="133">
        <f t="shared" si="3"/>
        <v>46045</v>
      </c>
      <c r="E37" s="196">
        <v>2.8616000000000001</v>
      </c>
      <c r="G37" s="135">
        <v>200.1</v>
      </c>
      <c r="H37" s="136"/>
      <c r="I37" s="135">
        <v>184.76</v>
      </c>
      <c r="J37" s="136"/>
      <c r="K37" s="135">
        <v>171.37</v>
      </c>
      <c r="L37" s="136"/>
      <c r="M37" s="135">
        <v>175.45</v>
      </c>
      <c r="N37" s="136"/>
      <c r="O37" s="135">
        <v>176.02</v>
      </c>
      <c r="P37" s="136"/>
      <c r="Q37" s="135">
        <v>178.02</v>
      </c>
      <c r="R37" s="136"/>
      <c r="S37" s="135">
        <v>185.41</v>
      </c>
      <c r="T37" s="136"/>
      <c r="U37" s="135">
        <v>190.1</v>
      </c>
      <c r="V37" s="136"/>
      <c r="W37" s="135">
        <v>188.05</v>
      </c>
      <c r="X37" s="136"/>
      <c r="Y37" s="135">
        <v>194.21</v>
      </c>
      <c r="Z37" s="136"/>
      <c r="AA37" s="144">
        <v>196.52</v>
      </c>
      <c r="AC37" s="135">
        <v>152.32</v>
      </c>
    </row>
    <row r="38" spans="2:29">
      <c r="B38" s="139">
        <f t="shared" si="4"/>
        <v>35</v>
      </c>
      <c r="C38" s="133">
        <f t="shared" si="5"/>
        <v>46045</v>
      </c>
      <c r="D38" s="133">
        <f t="shared" si="3"/>
        <v>46076</v>
      </c>
      <c r="E38" s="196">
        <v>2.8616000000000001</v>
      </c>
      <c r="G38" s="135">
        <v>199.39</v>
      </c>
      <c r="H38" s="136"/>
      <c r="I38" s="135">
        <v>181.36</v>
      </c>
      <c r="J38" s="136"/>
      <c r="K38" s="135">
        <v>165.63</v>
      </c>
      <c r="L38" s="136"/>
      <c r="M38" s="135">
        <v>168.9</v>
      </c>
      <c r="N38" s="136"/>
      <c r="O38" s="135">
        <v>168.95</v>
      </c>
      <c r="P38" s="136"/>
      <c r="Q38" s="135">
        <v>170.74</v>
      </c>
      <c r="R38" s="136"/>
      <c r="S38" s="135">
        <v>178.17</v>
      </c>
      <c r="T38" s="136"/>
      <c r="U38" s="135">
        <v>183.11</v>
      </c>
      <c r="V38" s="136"/>
      <c r="W38" s="135">
        <v>181.45</v>
      </c>
      <c r="X38" s="136"/>
      <c r="Y38" s="135">
        <v>188.09</v>
      </c>
      <c r="Z38" s="136"/>
      <c r="AA38" s="144">
        <v>190.95</v>
      </c>
      <c r="AC38" s="135">
        <v>147.97999999999999</v>
      </c>
    </row>
    <row r="39" spans="2:29">
      <c r="B39" s="138">
        <f t="shared" si="4"/>
        <v>36</v>
      </c>
      <c r="C39" s="137">
        <f t="shared" si="5"/>
        <v>46076</v>
      </c>
      <c r="D39" s="137">
        <f t="shared" si="3"/>
        <v>46104</v>
      </c>
      <c r="E39" s="196">
        <v>2.8612600000000001</v>
      </c>
      <c r="F39" s="140"/>
      <c r="G39" s="141">
        <v>198.84</v>
      </c>
      <c r="H39" s="142"/>
      <c r="I39" s="135">
        <v>177.85</v>
      </c>
      <c r="J39" s="142"/>
      <c r="K39" s="141">
        <v>159.53</v>
      </c>
      <c r="L39" s="142"/>
      <c r="M39" s="141">
        <v>161.86000000000001</v>
      </c>
      <c r="N39" s="142"/>
      <c r="O39" s="141">
        <v>161.31</v>
      </c>
      <c r="P39" s="142"/>
      <c r="Q39" s="141">
        <v>162.83000000000001</v>
      </c>
      <c r="R39" s="142"/>
      <c r="S39" s="141">
        <v>170.28</v>
      </c>
      <c r="T39" s="142"/>
      <c r="U39" s="141">
        <v>175.47</v>
      </c>
      <c r="V39" s="142"/>
      <c r="W39" s="141">
        <v>174.22</v>
      </c>
      <c r="X39" s="142"/>
      <c r="Y39" s="141">
        <v>181.39</v>
      </c>
      <c r="Z39" s="142"/>
      <c r="AA39" s="143">
        <v>184.84</v>
      </c>
      <c r="AC39" s="135">
        <v>143.36000000000001</v>
      </c>
    </row>
    <row r="40" spans="2:29">
      <c r="B40" s="139">
        <f t="shared" si="4"/>
        <v>37</v>
      </c>
      <c r="C40" s="133">
        <f t="shared" si="5"/>
        <v>46104</v>
      </c>
      <c r="D40" s="133">
        <f t="shared" si="3"/>
        <v>46135</v>
      </c>
      <c r="E40" s="196">
        <v>2.8274499999999998</v>
      </c>
      <c r="G40" s="135">
        <v>138.16</v>
      </c>
      <c r="H40" s="136"/>
      <c r="I40" s="135">
        <v>135.01</v>
      </c>
      <c r="J40" s="136"/>
      <c r="K40" s="135">
        <v>135.02000000000001</v>
      </c>
      <c r="L40" s="136"/>
      <c r="M40" s="135">
        <v>136.86000000000001</v>
      </c>
      <c r="N40" s="136"/>
      <c r="O40" s="135">
        <v>140.07</v>
      </c>
      <c r="P40" s="136"/>
      <c r="Q40" s="135">
        <v>144.59</v>
      </c>
      <c r="R40" s="136"/>
      <c r="S40" s="135">
        <v>150.22</v>
      </c>
      <c r="T40" s="136"/>
      <c r="U40" s="135">
        <v>156.75</v>
      </c>
      <c r="V40" s="136"/>
      <c r="W40" s="135">
        <v>163.93</v>
      </c>
      <c r="X40" s="136"/>
      <c r="Y40" s="135">
        <v>171.58</v>
      </c>
      <c r="Z40" s="136"/>
      <c r="AA40" s="135">
        <v>179.56</v>
      </c>
      <c r="AC40" s="135">
        <v>139.72999999999999</v>
      </c>
    </row>
    <row r="41" spans="2:29">
      <c r="B41" s="139">
        <f t="shared" si="4"/>
        <v>38</v>
      </c>
      <c r="C41" s="133">
        <f t="shared" si="5"/>
        <v>46135</v>
      </c>
      <c r="D41" s="133">
        <f t="shared" si="3"/>
        <v>46165</v>
      </c>
      <c r="E41" s="196">
        <v>2.81948</v>
      </c>
      <c r="G41" s="135">
        <v>138.16</v>
      </c>
      <c r="H41" s="136"/>
      <c r="I41" s="135">
        <v>135.02000000000001</v>
      </c>
      <c r="J41" s="136"/>
      <c r="K41" s="135">
        <v>135.02000000000001</v>
      </c>
      <c r="L41" s="136"/>
      <c r="M41" s="135">
        <v>136.86000000000001</v>
      </c>
      <c r="N41" s="136"/>
      <c r="O41" s="135">
        <v>140.07</v>
      </c>
      <c r="P41" s="136"/>
      <c r="Q41" s="135">
        <v>144.58000000000001</v>
      </c>
      <c r="R41" s="136"/>
      <c r="S41" s="135">
        <v>150.22</v>
      </c>
      <c r="T41" s="136"/>
      <c r="U41" s="135">
        <v>156.74</v>
      </c>
      <c r="V41" s="136"/>
      <c r="W41" s="135">
        <v>163.92</v>
      </c>
      <c r="X41" s="136"/>
      <c r="Y41" s="135">
        <v>171.57</v>
      </c>
      <c r="Z41" s="136"/>
      <c r="AA41" s="135">
        <v>179.55</v>
      </c>
      <c r="AC41" s="135">
        <v>139.72999999999999</v>
      </c>
    </row>
    <row r="42" spans="2:29">
      <c r="B42" s="139">
        <f t="shared" si="4"/>
        <v>39</v>
      </c>
      <c r="C42" s="133">
        <f t="shared" si="5"/>
        <v>46165</v>
      </c>
      <c r="D42" s="133">
        <f t="shared" si="3"/>
        <v>46196</v>
      </c>
      <c r="E42" s="196">
        <v>2.8197000000000001</v>
      </c>
      <c r="G42" s="135">
        <v>138.16999999999999</v>
      </c>
      <c r="H42" s="136"/>
      <c r="I42" s="135">
        <v>135.02000000000001</v>
      </c>
      <c r="J42" s="136"/>
      <c r="K42" s="135">
        <v>135.03</v>
      </c>
      <c r="L42" s="136"/>
      <c r="M42" s="135">
        <v>136.86000000000001</v>
      </c>
      <c r="N42" s="136"/>
      <c r="O42" s="135">
        <v>140.07</v>
      </c>
      <c r="P42" s="136"/>
      <c r="Q42" s="135">
        <v>144.59</v>
      </c>
      <c r="R42" s="136"/>
      <c r="S42" s="135">
        <v>150.22999999999999</v>
      </c>
      <c r="T42" s="136"/>
      <c r="U42" s="135">
        <v>156.75</v>
      </c>
      <c r="V42" s="136"/>
      <c r="W42" s="135">
        <v>163.93</v>
      </c>
      <c r="X42" s="136"/>
      <c r="Y42" s="135">
        <v>171.58</v>
      </c>
      <c r="Z42" s="136"/>
      <c r="AA42" s="135">
        <v>179.56</v>
      </c>
      <c r="AC42" s="135">
        <v>139.72999999999999</v>
      </c>
    </row>
    <row r="43" spans="2:29">
      <c r="B43" s="139">
        <f t="shared" si="4"/>
        <v>40</v>
      </c>
      <c r="C43" s="133">
        <f t="shared" si="5"/>
        <v>46196</v>
      </c>
      <c r="D43" s="133">
        <f t="shared" si="3"/>
        <v>46226</v>
      </c>
      <c r="E43" s="196">
        <v>2.8197000000000001</v>
      </c>
      <c r="G43" s="135">
        <v>138.16999999999999</v>
      </c>
      <c r="H43" s="136"/>
      <c r="I43" s="135">
        <v>135.03</v>
      </c>
      <c r="J43" s="136"/>
      <c r="K43" s="135">
        <v>135.03</v>
      </c>
      <c r="L43" s="136"/>
      <c r="M43" s="135">
        <v>136.86000000000001</v>
      </c>
      <c r="N43" s="136"/>
      <c r="O43" s="135">
        <v>140.07</v>
      </c>
      <c r="P43" s="136"/>
      <c r="Q43" s="135">
        <v>144.58000000000001</v>
      </c>
      <c r="R43" s="136"/>
      <c r="S43" s="135">
        <v>150.22</v>
      </c>
      <c r="T43" s="136"/>
      <c r="U43" s="135">
        <v>156.74</v>
      </c>
      <c r="V43" s="136"/>
      <c r="W43" s="135">
        <v>163.92</v>
      </c>
      <c r="X43" s="136"/>
      <c r="Y43" s="135">
        <v>171.57</v>
      </c>
      <c r="Z43" s="136"/>
      <c r="AA43" s="135">
        <v>179.55</v>
      </c>
      <c r="AC43" s="135">
        <v>139.72999999999999</v>
      </c>
    </row>
    <row r="44" spans="2:29">
      <c r="B44" s="139">
        <f t="shared" si="4"/>
        <v>41</v>
      </c>
      <c r="C44" s="133">
        <f t="shared" si="5"/>
        <v>46226</v>
      </c>
      <c r="D44" s="133">
        <f t="shared" si="3"/>
        <v>46257</v>
      </c>
      <c r="E44" s="196">
        <v>2.8195899999999998</v>
      </c>
      <c r="G44" s="135">
        <v>138.18</v>
      </c>
      <c r="H44" s="136"/>
      <c r="I44" s="135">
        <v>135.03</v>
      </c>
      <c r="J44" s="136"/>
      <c r="K44" s="135">
        <v>135.03</v>
      </c>
      <c r="L44" s="136"/>
      <c r="M44" s="135">
        <v>136.86000000000001</v>
      </c>
      <c r="N44" s="136"/>
      <c r="O44" s="135">
        <v>140.07</v>
      </c>
      <c r="P44" s="136"/>
      <c r="Q44" s="135">
        <v>144.58000000000001</v>
      </c>
      <c r="R44" s="136"/>
      <c r="S44" s="135">
        <v>150.22</v>
      </c>
      <c r="T44" s="136"/>
      <c r="U44" s="135">
        <v>156.74</v>
      </c>
      <c r="V44" s="136"/>
      <c r="W44" s="135">
        <v>163.92</v>
      </c>
      <c r="X44" s="136"/>
      <c r="Y44" s="135">
        <v>171.57</v>
      </c>
      <c r="Z44" s="136"/>
      <c r="AA44" s="135">
        <v>179.55</v>
      </c>
      <c r="AC44" s="135">
        <v>139.72999999999999</v>
      </c>
    </row>
    <row r="45" spans="2:29">
      <c r="B45" s="139">
        <f t="shared" si="4"/>
        <v>42</v>
      </c>
      <c r="C45" s="133">
        <f t="shared" si="5"/>
        <v>46257</v>
      </c>
      <c r="D45" s="133">
        <f t="shared" si="3"/>
        <v>46288</v>
      </c>
      <c r="E45" s="196">
        <v>2.8198099999999999</v>
      </c>
      <c r="G45" s="135">
        <v>138.19</v>
      </c>
      <c r="H45" s="136"/>
      <c r="I45" s="135">
        <v>135.04</v>
      </c>
      <c r="J45" s="136"/>
      <c r="K45" s="135">
        <v>135.03</v>
      </c>
      <c r="L45" s="136"/>
      <c r="M45" s="135">
        <v>136.86000000000001</v>
      </c>
      <c r="N45" s="136"/>
      <c r="O45" s="135">
        <v>140.07</v>
      </c>
      <c r="P45" s="136"/>
      <c r="Q45" s="135">
        <v>144.58000000000001</v>
      </c>
      <c r="R45" s="136"/>
      <c r="S45" s="135">
        <v>150.22</v>
      </c>
      <c r="T45" s="136"/>
      <c r="U45" s="135">
        <v>156.74</v>
      </c>
      <c r="V45" s="136"/>
      <c r="W45" s="135">
        <v>163.92</v>
      </c>
      <c r="X45" s="136"/>
      <c r="Y45" s="135">
        <v>171.57</v>
      </c>
      <c r="Z45" s="136"/>
      <c r="AA45" s="135">
        <v>179.55</v>
      </c>
      <c r="AC45" s="135">
        <v>139.72999999999999</v>
      </c>
    </row>
    <row r="46" spans="2:29">
      <c r="B46" s="139">
        <f t="shared" si="4"/>
        <v>43</v>
      </c>
      <c r="C46" s="133">
        <f t="shared" si="5"/>
        <v>46288</v>
      </c>
      <c r="D46" s="133">
        <f t="shared" si="3"/>
        <v>46318</v>
      </c>
      <c r="E46" s="196">
        <v>2.8195899999999998</v>
      </c>
      <c r="G46" s="135">
        <v>138.19</v>
      </c>
      <c r="H46" s="136"/>
      <c r="I46" s="135">
        <v>135.04</v>
      </c>
      <c r="J46" s="136"/>
      <c r="K46" s="135">
        <v>135.04</v>
      </c>
      <c r="L46" s="136"/>
      <c r="M46" s="135">
        <v>136.86000000000001</v>
      </c>
      <c r="N46" s="136"/>
      <c r="O46" s="135">
        <v>140.07</v>
      </c>
      <c r="P46" s="136"/>
      <c r="Q46" s="135">
        <v>144.58000000000001</v>
      </c>
      <c r="R46" s="136"/>
      <c r="S46" s="135">
        <v>150.22</v>
      </c>
      <c r="T46" s="136"/>
      <c r="U46" s="135">
        <v>156.74</v>
      </c>
      <c r="V46" s="136"/>
      <c r="W46" s="135">
        <v>163.92</v>
      </c>
      <c r="X46" s="136"/>
      <c r="Y46" s="135">
        <v>171.57</v>
      </c>
      <c r="Z46" s="136"/>
      <c r="AA46" s="135">
        <v>179.55</v>
      </c>
      <c r="AC46" s="135">
        <v>139.72999999999999</v>
      </c>
    </row>
    <row r="47" spans="2:29">
      <c r="B47" s="139">
        <f t="shared" si="4"/>
        <v>44</v>
      </c>
      <c r="C47" s="133">
        <f t="shared" si="5"/>
        <v>46318</v>
      </c>
      <c r="D47" s="133">
        <f t="shared" si="3"/>
        <v>46349</v>
      </c>
      <c r="E47" s="196">
        <v>2.8195899999999998</v>
      </c>
      <c r="G47" s="135">
        <v>138.19999999999999</v>
      </c>
      <c r="H47" s="136"/>
      <c r="I47" s="135">
        <v>135.05000000000001</v>
      </c>
      <c r="J47" s="136"/>
      <c r="K47" s="135">
        <v>135.04</v>
      </c>
      <c r="L47" s="136"/>
      <c r="M47" s="135">
        <v>136.86000000000001</v>
      </c>
      <c r="N47" s="136"/>
      <c r="O47" s="135">
        <v>140.07</v>
      </c>
      <c r="P47" s="136"/>
      <c r="Q47" s="135">
        <v>144.58000000000001</v>
      </c>
      <c r="R47" s="136"/>
      <c r="S47" s="135">
        <v>150.21</v>
      </c>
      <c r="T47" s="136"/>
      <c r="U47" s="135">
        <v>156.72999999999999</v>
      </c>
      <c r="V47" s="136"/>
      <c r="W47" s="135">
        <v>163.91</v>
      </c>
      <c r="X47" s="136"/>
      <c r="Y47" s="135">
        <v>171.56</v>
      </c>
      <c r="Z47" s="136"/>
      <c r="AA47" s="135">
        <v>179.54</v>
      </c>
      <c r="AC47" s="135">
        <v>139.72999999999999</v>
      </c>
    </row>
    <row r="48" spans="2:29">
      <c r="B48" s="139">
        <f t="shared" si="4"/>
        <v>45</v>
      </c>
      <c r="C48" s="133">
        <f t="shared" si="5"/>
        <v>46349</v>
      </c>
      <c r="D48" s="133">
        <f t="shared" si="3"/>
        <v>46379</v>
      </c>
      <c r="E48" s="196">
        <v>2.8198099999999999</v>
      </c>
      <c r="G48" s="135">
        <v>138.21</v>
      </c>
      <c r="H48" s="136"/>
      <c r="I48" s="135">
        <v>135.05000000000001</v>
      </c>
      <c r="J48" s="136"/>
      <c r="K48" s="135">
        <v>135.04</v>
      </c>
      <c r="L48" s="136"/>
      <c r="M48" s="135">
        <v>136.87</v>
      </c>
      <c r="N48" s="136"/>
      <c r="O48" s="135">
        <v>140.07</v>
      </c>
      <c r="P48" s="136"/>
      <c r="Q48" s="135">
        <v>144.58000000000001</v>
      </c>
      <c r="R48" s="136"/>
      <c r="S48" s="135">
        <v>150.21</v>
      </c>
      <c r="T48" s="136"/>
      <c r="U48" s="135">
        <v>156.72999999999999</v>
      </c>
      <c r="V48" s="136"/>
      <c r="W48" s="135">
        <v>163.91</v>
      </c>
      <c r="X48" s="136"/>
      <c r="Y48" s="135">
        <v>171.56</v>
      </c>
      <c r="Z48" s="136"/>
      <c r="AA48" s="135">
        <v>179.54</v>
      </c>
      <c r="AC48" s="135">
        <v>139.72999999999999</v>
      </c>
    </row>
    <row r="49" spans="2:29">
      <c r="B49" s="139">
        <f t="shared" si="4"/>
        <v>46</v>
      </c>
      <c r="C49" s="133">
        <f t="shared" si="5"/>
        <v>46379</v>
      </c>
      <c r="D49" s="133">
        <f t="shared" si="3"/>
        <v>46410</v>
      </c>
      <c r="E49" s="196">
        <v>2.8195899999999998</v>
      </c>
      <c r="G49" s="135">
        <v>138.21</v>
      </c>
      <c r="H49" s="136"/>
      <c r="I49" s="135">
        <v>135.06</v>
      </c>
      <c r="J49" s="136"/>
      <c r="K49" s="135">
        <v>135.04</v>
      </c>
      <c r="L49" s="136"/>
      <c r="M49" s="135">
        <v>136.87</v>
      </c>
      <c r="N49" s="136"/>
      <c r="O49" s="135">
        <v>140.06</v>
      </c>
      <c r="P49" s="136"/>
      <c r="Q49" s="135">
        <v>144.57</v>
      </c>
      <c r="R49" s="136"/>
      <c r="S49" s="135">
        <v>150.19999999999999</v>
      </c>
      <c r="T49" s="136"/>
      <c r="U49" s="135">
        <v>156.72</v>
      </c>
      <c r="V49" s="136"/>
      <c r="W49" s="135">
        <v>163.9</v>
      </c>
      <c r="X49" s="136"/>
      <c r="Y49" s="135">
        <v>171.55</v>
      </c>
      <c r="Z49" s="136"/>
      <c r="AA49" s="135">
        <v>179.53</v>
      </c>
      <c r="AC49" s="135">
        <v>139.72999999999999</v>
      </c>
    </row>
    <row r="50" spans="2:29">
      <c r="B50" s="139">
        <f t="shared" si="4"/>
        <v>47</v>
      </c>
      <c r="C50" s="133">
        <f t="shared" si="5"/>
        <v>46410</v>
      </c>
      <c r="D50" s="133">
        <f t="shared" si="3"/>
        <v>46441</v>
      </c>
      <c r="E50" s="196">
        <v>2.81948</v>
      </c>
      <c r="G50" s="135">
        <v>135.77000000000001</v>
      </c>
      <c r="H50" s="136"/>
      <c r="I50" s="135">
        <v>132.01</v>
      </c>
      <c r="J50" s="136"/>
      <c r="K50" s="135">
        <v>131.04</v>
      </c>
      <c r="L50" s="136"/>
      <c r="M50" s="135">
        <v>132.29</v>
      </c>
      <c r="N50" s="136"/>
      <c r="O50" s="135">
        <v>134.91</v>
      </c>
      <c r="P50" s="136"/>
      <c r="Q50" s="135">
        <v>138.86000000000001</v>
      </c>
      <c r="R50" s="136"/>
      <c r="S50" s="135">
        <v>143.99</v>
      </c>
      <c r="T50" s="136"/>
      <c r="U50" s="135">
        <v>150.06</v>
      </c>
      <c r="V50" s="136"/>
      <c r="W50" s="135">
        <v>156.85</v>
      </c>
      <c r="X50" s="136"/>
      <c r="Y50" s="135">
        <v>164.15</v>
      </c>
      <c r="Z50" s="136"/>
      <c r="AA50" s="135">
        <v>171.8</v>
      </c>
      <c r="AC50" s="135">
        <v>135.47999999999999</v>
      </c>
    </row>
    <row r="51" spans="2:29">
      <c r="B51" s="138">
        <f t="shared" si="4"/>
        <v>48</v>
      </c>
      <c r="C51" s="137">
        <f t="shared" si="5"/>
        <v>46441</v>
      </c>
      <c r="D51" s="137">
        <f t="shared" si="3"/>
        <v>46469</v>
      </c>
      <c r="E51" s="196">
        <v>2.8192599999999999</v>
      </c>
      <c r="G51" s="135">
        <v>133.26</v>
      </c>
      <c r="H51" s="136"/>
      <c r="I51" s="135">
        <v>128.88999999999999</v>
      </c>
      <c r="J51" s="136"/>
      <c r="K51" s="135">
        <v>126.98</v>
      </c>
      <c r="L51" s="136"/>
      <c r="M51" s="135">
        <v>127.66</v>
      </c>
      <c r="N51" s="136"/>
      <c r="O51" s="135">
        <v>129.68</v>
      </c>
      <c r="P51" s="136"/>
      <c r="Q51" s="135">
        <v>133.06</v>
      </c>
      <c r="R51" s="136"/>
      <c r="S51" s="135">
        <v>137.66999999999999</v>
      </c>
      <c r="T51" s="136"/>
      <c r="U51" s="135">
        <v>143.29</v>
      </c>
      <c r="V51" s="136"/>
      <c r="W51" s="135">
        <v>149.66999999999999</v>
      </c>
      <c r="X51" s="136"/>
      <c r="Y51" s="135">
        <v>156.6</v>
      </c>
      <c r="Z51" s="136"/>
      <c r="AA51" s="135">
        <v>163.92</v>
      </c>
      <c r="AC51" s="135">
        <v>131.49</v>
      </c>
    </row>
    <row r="52" spans="2:29">
      <c r="B52" s="139">
        <f t="shared" si="4"/>
        <v>49</v>
      </c>
      <c r="C52" s="133">
        <f t="shared" si="5"/>
        <v>46469</v>
      </c>
      <c r="D52" s="133">
        <f t="shared" si="3"/>
        <v>46500</v>
      </c>
      <c r="E52" s="196">
        <v>2.8291300000000001</v>
      </c>
      <c r="G52" s="135">
        <v>130.62</v>
      </c>
      <c r="H52" s="136"/>
      <c r="I52" s="135">
        <v>125.89</v>
      </c>
      <c r="J52" s="136"/>
      <c r="K52" s="135">
        <v>123.54</v>
      </c>
      <c r="L52" s="136"/>
      <c r="M52" s="135">
        <v>123.99</v>
      </c>
      <c r="N52" s="136"/>
      <c r="O52" s="135">
        <v>125.79</v>
      </c>
      <c r="P52" s="136"/>
      <c r="Q52" s="135">
        <v>128.96</v>
      </c>
      <c r="R52" s="136"/>
      <c r="S52" s="135">
        <v>133.37</v>
      </c>
      <c r="T52" s="136"/>
      <c r="U52" s="135">
        <v>138.77000000000001</v>
      </c>
      <c r="V52" s="136"/>
      <c r="W52" s="135">
        <v>144.94</v>
      </c>
      <c r="X52" s="136"/>
      <c r="Y52" s="135">
        <v>151.66</v>
      </c>
      <c r="Z52" s="136"/>
      <c r="AA52" s="135">
        <v>158.76</v>
      </c>
      <c r="AC52" s="135">
        <v>127.44</v>
      </c>
    </row>
    <row r="53" spans="2:29">
      <c r="B53" s="139">
        <f t="shared" si="4"/>
        <v>50</v>
      </c>
      <c r="C53" s="133">
        <f t="shared" si="5"/>
        <v>46500</v>
      </c>
      <c r="D53" s="133">
        <f t="shared" si="3"/>
        <v>46530</v>
      </c>
      <c r="E53" s="196">
        <v>2.8310900000000001</v>
      </c>
      <c r="G53" s="135">
        <v>130.62</v>
      </c>
      <c r="H53" s="136"/>
      <c r="I53" s="135">
        <v>125.89</v>
      </c>
      <c r="J53" s="136"/>
      <c r="K53" s="135">
        <v>123.54</v>
      </c>
      <c r="L53" s="136"/>
      <c r="M53" s="135">
        <v>123.99</v>
      </c>
      <c r="N53" s="136"/>
      <c r="O53" s="135">
        <v>125.79</v>
      </c>
      <c r="P53" s="136"/>
      <c r="Q53" s="135">
        <v>128.96</v>
      </c>
      <c r="R53" s="136"/>
      <c r="S53" s="135">
        <v>133.37</v>
      </c>
      <c r="T53" s="136"/>
      <c r="U53" s="135">
        <v>138.78</v>
      </c>
      <c r="V53" s="136"/>
      <c r="W53" s="135">
        <v>144.94</v>
      </c>
      <c r="X53" s="136"/>
      <c r="Y53" s="135">
        <v>151.66</v>
      </c>
      <c r="Z53" s="136"/>
      <c r="AA53" s="135">
        <v>158.76</v>
      </c>
      <c r="AC53" s="135">
        <v>127.01</v>
      </c>
    </row>
    <row r="54" spans="2:29">
      <c r="B54" s="139">
        <f t="shared" si="4"/>
        <v>51</v>
      </c>
      <c r="C54" s="133">
        <f t="shared" si="5"/>
        <v>46530</v>
      </c>
      <c r="D54" s="133">
        <f t="shared" si="3"/>
        <v>46561</v>
      </c>
      <c r="E54" s="196">
        <v>2.83142</v>
      </c>
      <c r="G54" s="135">
        <v>130.62</v>
      </c>
      <c r="H54" s="136"/>
      <c r="I54" s="135">
        <v>125.89</v>
      </c>
      <c r="J54" s="136"/>
      <c r="K54" s="135">
        <v>123.54</v>
      </c>
      <c r="L54" s="136"/>
      <c r="M54" s="135">
        <v>123.99</v>
      </c>
      <c r="N54" s="136"/>
      <c r="O54" s="135">
        <v>125.79</v>
      </c>
      <c r="P54" s="136"/>
      <c r="Q54" s="135">
        <v>128.96</v>
      </c>
      <c r="R54" s="136"/>
      <c r="S54" s="135">
        <v>133.37</v>
      </c>
      <c r="T54" s="136"/>
      <c r="U54" s="135">
        <v>138.78</v>
      </c>
      <c r="V54" s="136"/>
      <c r="W54" s="135">
        <v>144.94999999999999</v>
      </c>
      <c r="X54" s="136"/>
      <c r="Y54" s="135">
        <v>151.66</v>
      </c>
      <c r="Z54" s="136"/>
      <c r="AA54" s="135">
        <v>158.77000000000001</v>
      </c>
      <c r="AC54" s="135">
        <v>127.01</v>
      </c>
    </row>
    <row r="55" spans="2:29">
      <c r="B55" s="139">
        <f t="shared" si="4"/>
        <v>52</v>
      </c>
      <c r="C55" s="133">
        <f t="shared" si="5"/>
        <v>46561</v>
      </c>
      <c r="D55" s="133">
        <f t="shared" si="3"/>
        <v>46591</v>
      </c>
      <c r="E55" s="196">
        <v>2.8311999999999999</v>
      </c>
      <c r="G55" s="135">
        <v>130.62</v>
      </c>
      <c r="H55" s="136"/>
      <c r="I55" s="135">
        <v>125.88</v>
      </c>
      <c r="J55" s="136"/>
      <c r="K55" s="135">
        <v>123.54</v>
      </c>
      <c r="L55" s="136"/>
      <c r="M55" s="135">
        <v>123.99</v>
      </c>
      <c r="N55" s="136"/>
      <c r="O55" s="135">
        <v>125.79</v>
      </c>
      <c r="P55" s="136"/>
      <c r="Q55" s="135">
        <v>128.96</v>
      </c>
      <c r="R55" s="136"/>
      <c r="S55" s="135">
        <v>133.37</v>
      </c>
      <c r="T55" s="136"/>
      <c r="U55" s="135">
        <v>138.78</v>
      </c>
      <c r="V55" s="136"/>
      <c r="W55" s="135">
        <v>144.94999999999999</v>
      </c>
      <c r="X55" s="136"/>
      <c r="Y55" s="135">
        <v>151.66999999999999</v>
      </c>
      <c r="Z55" s="136"/>
      <c r="AA55" s="135">
        <v>158.77000000000001</v>
      </c>
      <c r="AC55" s="135">
        <v>127.01</v>
      </c>
    </row>
    <row r="56" spans="2:29">
      <c r="B56" s="139">
        <f t="shared" si="4"/>
        <v>53</v>
      </c>
      <c r="C56" s="133">
        <f t="shared" si="5"/>
        <v>46591</v>
      </c>
      <c r="D56" s="133">
        <f t="shared" si="3"/>
        <v>46622</v>
      </c>
      <c r="E56" s="196">
        <v>2.8311999999999999</v>
      </c>
      <c r="G56" s="135">
        <v>130.61000000000001</v>
      </c>
      <c r="H56" s="136"/>
      <c r="I56" s="135">
        <v>125.88</v>
      </c>
      <c r="J56" s="136"/>
      <c r="K56" s="135">
        <v>123.54</v>
      </c>
      <c r="L56" s="136"/>
      <c r="M56" s="135">
        <v>123.99</v>
      </c>
      <c r="N56" s="136"/>
      <c r="O56" s="135">
        <v>125.79</v>
      </c>
      <c r="P56" s="136"/>
      <c r="Q56" s="135">
        <v>128.96</v>
      </c>
      <c r="R56" s="136"/>
      <c r="S56" s="135">
        <v>133.37</v>
      </c>
      <c r="T56" s="136"/>
      <c r="U56" s="135">
        <v>138.78</v>
      </c>
      <c r="V56" s="136"/>
      <c r="W56" s="135">
        <v>144.94999999999999</v>
      </c>
      <c r="X56" s="136"/>
      <c r="Y56" s="135">
        <v>151.66</v>
      </c>
      <c r="Z56" s="136"/>
      <c r="AA56" s="135">
        <v>158.77000000000001</v>
      </c>
      <c r="AC56" s="135">
        <v>127.01</v>
      </c>
    </row>
    <row r="57" spans="2:29">
      <c r="B57" s="139">
        <f t="shared" si="4"/>
        <v>54</v>
      </c>
      <c r="C57" s="133">
        <f t="shared" si="5"/>
        <v>46622</v>
      </c>
      <c r="D57" s="133">
        <f t="shared" si="3"/>
        <v>46653</v>
      </c>
      <c r="E57" s="196">
        <v>2.83142</v>
      </c>
      <c r="G57" s="135">
        <v>130.61000000000001</v>
      </c>
      <c r="H57" s="136"/>
      <c r="I57" s="135">
        <v>125.88</v>
      </c>
      <c r="J57" s="136"/>
      <c r="K57" s="135">
        <v>123.54</v>
      </c>
      <c r="L57" s="136"/>
      <c r="M57" s="135">
        <v>123.99</v>
      </c>
      <c r="N57" s="136"/>
      <c r="O57" s="135">
        <v>125.79</v>
      </c>
      <c r="P57" s="136"/>
      <c r="Q57" s="135">
        <v>128.96</v>
      </c>
      <c r="R57" s="136"/>
      <c r="S57" s="135">
        <v>133.37</v>
      </c>
      <c r="T57" s="136"/>
      <c r="U57" s="135">
        <v>138.78</v>
      </c>
      <c r="V57" s="136"/>
      <c r="W57" s="135">
        <v>144.94999999999999</v>
      </c>
      <c r="X57" s="136"/>
      <c r="Y57" s="135">
        <v>151.66999999999999</v>
      </c>
      <c r="Z57" s="136"/>
      <c r="AA57" s="135">
        <v>158.77000000000001</v>
      </c>
      <c r="AC57" s="135">
        <v>127.01</v>
      </c>
    </row>
    <row r="58" spans="2:29">
      <c r="B58" s="139">
        <f t="shared" si="4"/>
        <v>55</v>
      </c>
      <c r="C58" s="133">
        <f t="shared" si="5"/>
        <v>46653</v>
      </c>
      <c r="D58" s="133">
        <f t="shared" si="3"/>
        <v>46683</v>
      </c>
      <c r="E58" s="196">
        <v>2.8310900000000001</v>
      </c>
      <c r="G58" s="135">
        <v>130.61000000000001</v>
      </c>
      <c r="H58" s="136"/>
      <c r="I58" s="135">
        <v>125.88</v>
      </c>
      <c r="J58" s="136"/>
      <c r="K58" s="135">
        <v>123.54</v>
      </c>
      <c r="L58" s="136"/>
      <c r="M58" s="135">
        <v>123.99</v>
      </c>
      <c r="N58" s="136"/>
      <c r="O58" s="135">
        <v>125.79</v>
      </c>
      <c r="P58" s="136"/>
      <c r="Q58" s="135">
        <v>128.96</v>
      </c>
      <c r="R58" s="136"/>
      <c r="S58" s="135">
        <v>133.37</v>
      </c>
      <c r="T58" s="136"/>
      <c r="U58" s="135">
        <v>138.77000000000001</v>
      </c>
      <c r="V58" s="136"/>
      <c r="W58" s="135">
        <v>144.94</v>
      </c>
      <c r="X58" s="136"/>
      <c r="Y58" s="135">
        <v>151.66</v>
      </c>
      <c r="Z58" s="136"/>
      <c r="AA58" s="135">
        <v>158.77000000000001</v>
      </c>
      <c r="AC58" s="135">
        <v>127.01</v>
      </c>
    </row>
    <row r="59" spans="2:29">
      <c r="B59" s="139">
        <f t="shared" si="4"/>
        <v>56</v>
      </c>
      <c r="C59" s="133">
        <f t="shared" si="5"/>
        <v>46683</v>
      </c>
      <c r="D59" s="133">
        <f t="shared" si="3"/>
        <v>46714</v>
      </c>
      <c r="E59" s="196">
        <v>2.83142</v>
      </c>
      <c r="G59" s="135">
        <v>130.6</v>
      </c>
      <c r="H59" s="136"/>
      <c r="I59" s="135">
        <v>125.88</v>
      </c>
      <c r="J59" s="136"/>
      <c r="K59" s="135">
        <v>123.54</v>
      </c>
      <c r="L59" s="136"/>
      <c r="M59" s="135">
        <v>123.99</v>
      </c>
      <c r="N59" s="136"/>
      <c r="O59" s="135">
        <v>125.79</v>
      </c>
      <c r="P59" s="136"/>
      <c r="Q59" s="135">
        <v>128.96</v>
      </c>
      <c r="R59" s="136"/>
      <c r="S59" s="135">
        <v>133.37</v>
      </c>
      <c r="T59" s="136"/>
      <c r="U59" s="135">
        <v>138.78</v>
      </c>
      <c r="V59" s="136"/>
      <c r="W59" s="135">
        <v>144.94999999999999</v>
      </c>
      <c r="X59" s="136"/>
      <c r="Y59" s="135">
        <v>151.66999999999999</v>
      </c>
      <c r="Z59" s="136"/>
      <c r="AA59" s="135">
        <v>158.77000000000001</v>
      </c>
      <c r="AC59" s="135">
        <v>127.01</v>
      </c>
    </row>
    <row r="60" spans="2:29">
      <c r="B60" s="139">
        <f t="shared" si="4"/>
        <v>57</v>
      </c>
      <c r="C60" s="133">
        <f t="shared" si="5"/>
        <v>46714</v>
      </c>
      <c r="D60" s="133">
        <f t="shared" si="3"/>
        <v>46744</v>
      </c>
      <c r="E60" s="196">
        <v>2.8311999999999999</v>
      </c>
      <c r="G60" s="135">
        <v>130.6</v>
      </c>
      <c r="H60" s="136"/>
      <c r="I60" s="135">
        <v>125.88</v>
      </c>
      <c r="J60" s="136"/>
      <c r="K60" s="135">
        <v>123.54</v>
      </c>
      <c r="L60" s="136"/>
      <c r="M60" s="135">
        <v>123.99</v>
      </c>
      <c r="N60" s="136"/>
      <c r="O60" s="135">
        <v>125.79</v>
      </c>
      <c r="P60" s="136"/>
      <c r="Q60" s="135">
        <v>128.96</v>
      </c>
      <c r="R60" s="136"/>
      <c r="S60" s="135">
        <v>133.37</v>
      </c>
      <c r="T60" s="136"/>
      <c r="U60" s="135">
        <v>138.78</v>
      </c>
      <c r="V60" s="136"/>
      <c r="W60" s="135">
        <v>144.94999999999999</v>
      </c>
      <c r="X60" s="136"/>
      <c r="Y60" s="135">
        <v>151.66999999999999</v>
      </c>
      <c r="Z60" s="136"/>
      <c r="AA60" s="135">
        <v>158.77000000000001</v>
      </c>
      <c r="AC60" s="135">
        <v>127.01</v>
      </c>
    </row>
    <row r="61" spans="2:29">
      <c r="B61" s="139">
        <f t="shared" si="4"/>
        <v>58</v>
      </c>
      <c r="C61" s="133">
        <f t="shared" si="5"/>
        <v>46744</v>
      </c>
      <c r="D61" s="133">
        <f t="shared" si="3"/>
        <v>46775</v>
      </c>
      <c r="E61" s="196">
        <v>2.8311999999999999</v>
      </c>
      <c r="G61" s="135">
        <v>130.6</v>
      </c>
      <c r="H61" s="136"/>
      <c r="I61" s="135">
        <v>125.88</v>
      </c>
      <c r="J61" s="136"/>
      <c r="K61" s="135">
        <v>123.54</v>
      </c>
      <c r="L61" s="136"/>
      <c r="M61" s="135">
        <v>123.99</v>
      </c>
      <c r="N61" s="136"/>
      <c r="O61" s="135">
        <v>125.79</v>
      </c>
      <c r="P61" s="136"/>
      <c r="Q61" s="135">
        <v>128.96</v>
      </c>
      <c r="R61" s="136"/>
      <c r="S61" s="135">
        <v>133.37</v>
      </c>
      <c r="T61" s="136"/>
      <c r="U61" s="135">
        <v>138.78</v>
      </c>
      <c r="V61" s="136"/>
      <c r="W61" s="135">
        <v>144.94999999999999</v>
      </c>
      <c r="X61" s="136"/>
      <c r="Y61" s="135">
        <v>151.66999999999999</v>
      </c>
      <c r="Z61" s="136"/>
      <c r="AA61" s="135">
        <v>158.77000000000001</v>
      </c>
      <c r="AC61" s="135">
        <v>127.01</v>
      </c>
    </row>
    <row r="62" spans="2:29">
      <c r="B62" s="139">
        <f t="shared" si="4"/>
        <v>59</v>
      </c>
      <c r="C62" s="133">
        <f t="shared" si="5"/>
        <v>46775</v>
      </c>
      <c r="D62" s="133">
        <f t="shared" si="3"/>
        <v>46806</v>
      </c>
      <c r="E62" s="196">
        <v>2.83142</v>
      </c>
      <c r="G62" s="135">
        <v>129.94999999999999</v>
      </c>
      <c r="H62" s="136"/>
      <c r="I62" s="135">
        <v>124.9</v>
      </c>
      <c r="J62" s="136"/>
      <c r="K62" s="135">
        <v>122.07</v>
      </c>
      <c r="L62" s="136"/>
      <c r="M62" s="135">
        <v>122.22</v>
      </c>
      <c r="N62" s="136"/>
      <c r="O62" s="135">
        <v>123.72</v>
      </c>
      <c r="P62" s="136"/>
      <c r="Q62" s="135">
        <v>126.6</v>
      </c>
      <c r="R62" s="136"/>
      <c r="S62" s="135">
        <v>130.75</v>
      </c>
      <c r="T62" s="136"/>
      <c r="U62" s="135">
        <v>135.94</v>
      </c>
      <c r="V62" s="136"/>
      <c r="W62" s="135">
        <v>141.93</v>
      </c>
      <c r="X62" s="136"/>
      <c r="Y62" s="135">
        <v>148.49</v>
      </c>
      <c r="Z62" s="136"/>
      <c r="AA62" s="135">
        <v>155.46</v>
      </c>
      <c r="AC62" s="135">
        <v>123.92</v>
      </c>
    </row>
    <row r="63" spans="2:29">
      <c r="B63" s="138">
        <f t="shared" si="4"/>
        <v>60</v>
      </c>
      <c r="C63" s="137">
        <f t="shared" si="5"/>
        <v>46806</v>
      </c>
      <c r="D63" s="137">
        <f t="shared" si="3"/>
        <v>46835</v>
      </c>
      <c r="E63" s="196">
        <v>2.8311999999999999</v>
      </c>
      <c r="G63" s="135">
        <v>129.29</v>
      </c>
      <c r="H63" s="136"/>
      <c r="I63" s="135">
        <v>123.88</v>
      </c>
      <c r="J63" s="136"/>
      <c r="K63" s="135">
        <v>120.53</v>
      </c>
      <c r="L63" s="136"/>
      <c r="M63" s="135">
        <v>120.37</v>
      </c>
      <c r="N63" s="136"/>
      <c r="O63" s="135">
        <v>121.54</v>
      </c>
      <c r="P63" s="136"/>
      <c r="Q63" s="135">
        <v>124.12</v>
      </c>
      <c r="R63" s="136"/>
      <c r="S63" s="135">
        <v>128</v>
      </c>
      <c r="T63" s="136"/>
      <c r="U63" s="135">
        <v>132.97</v>
      </c>
      <c r="V63" s="136"/>
      <c r="W63" s="135">
        <v>138.76</v>
      </c>
      <c r="X63" s="136"/>
      <c r="Y63" s="135">
        <v>145.16</v>
      </c>
      <c r="Z63" s="136"/>
      <c r="AA63" s="135">
        <v>151.97999999999999</v>
      </c>
      <c r="AC63" s="135">
        <v>120.85</v>
      </c>
    </row>
    <row r="64" spans="2:29">
      <c r="B64" s="139">
        <f t="shared" si="4"/>
        <v>61</v>
      </c>
      <c r="C64" s="133">
        <f t="shared" si="5"/>
        <v>46835</v>
      </c>
      <c r="D64" s="133">
        <f t="shared" si="3"/>
        <v>46866</v>
      </c>
      <c r="E64" s="196">
        <v>2.9176700000000002</v>
      </c>
      <c r="G64" s="135">
        <v>129.24</v>
      </c>
      <c r="H64" s="136"/>
      <c r="I64" s="135">
        <v>123.44</v>
      </c>
      <c r="J64" s="136"/>
      <c r="K64" s="135">
        <v>119.36</v>
      </c>
      <c r="L64" s="136"/>
      <c r="M64" s="135">
        <v>118.71</v>
      </c>
      <c r="N64" s="136"/>
      <c r="O64" s="135">
        <v>119.36</v>
      </c>
      <c r="P64" s="136"/>
      <c r="Q64" s="135">
        <v>121.42</v>
      </c>
      <c r="R64" s="136"/>
      <c r="S64" s="135">
        <v>124.85</v>
      </c>
      <c r="T64" s="136"/>
      <c r="U64" s="135">
        <v>129.44</v>
      </c>
      <c r="V64" s="136"/>
      <c r="W64" s="135">
        <v>134.93</v>
      </c>
      <c r="X64" s="136"/>
      <c r="Y64" s="135">
        <v>141.09</v>
      </c>
      <c r="Z64" s="136"/>
      <c r="AA64" s="135">
        <v>147.72</v>
      </c>
      <c r="AC64" s="135">
        <v>117.21</v>
      </c>
    </row>
    <row r="65" spans="2:31">
      <c r="B65" s="139">
        <f t="shared" si="4"/>
        <v>62</v>
      </c>
      <c r="C65" s="133">
        <f t="shared" si="5"/>
        <v>46866</v>
      </c>
      <c r="D65" s="133">
        <f t="shared" si="3"/>
        <v>46896</v>
      </c>
      <c r="E65" s="196">
        <v>2.9235099999999998</v>
      </c>
      <c r="G65" s="135">
        <v>129.22999999999999</v>
      </c>
      <c r="H65" s="136"/>
      <c r="I65" s="135">
        <v>123.43</v>
      </c>
      <c r="J65" s="136"/>
      <c r="K65" s="135">
        <v>119.36</v>
      </c>
      <c r="L65" s="136"/>
      <c r="M65" s="135">
        <v>118.71</v>
      </c>
      <c r="N65" s="136"/>
      <c r="O65" s="135">
        <v>119.36</v>
      </c>
      <c r="P65" s="136"/>
      <c r="Q65" s="135">
        <v>121.42</v>
      </c>
      <c r="R65" s="136"/>
      <c r="S65" s="135">
        <v>124.85</v>
      </c>
      <c r="T65" s="136"/>
      <c r="U65" s="135">
        <v>129.44</v>
      </c>
      <c r="V65" s="136"/>
      <c r="W65" s="135">
        <v>134.94</v>
      </c>
      <c r="X65" s="136"/>
      <c r="Y65" s="135">
        <v>141.09</v>
      </c>
      <c r="Z65" s="136"/>
      <c r="AA65" s="135">
        <v>147.72</v>
      </c>
      <c r="AC65" s="135">
        <v>117.21</v>
      </c>
    </row>
    <row r="66" spans="2:31">
      <c r="B66" s="139">
        <f t="shared" si="4"/>
        <v>63</v>
      </c>
      <c r="C66" s="133">
        <f t="shared" si="5"/>
        <v>46896</v>
      </c>
      <c r="D66" s="133">
        <f t="shared" si="3"/>
        <v>46927</v>
      </c>
      <c r="E66" s="196">
        <v>2.9237500000000001</v>
      </c>
      <c r="G66" s="135">
        <v>129.22999999999999</v>
      </c>
      <c r="H66" s="136"/>
      <c r="I66" s="135">
        <v>123.44</v>
      </c>
      <c r="J66" s="136"/>
      <c r="K66" s="135">
        <v>119.36</v>
      </c>
      <c r="L66" s="136"/>
      <c r="M66" s="135">
        <v>118.71</v>
      </c>
      <c r="N66" s="136"/>
      <c r="O66" s="135">
        <v>119.36</v>
      </c>
      <c r="P66" s="136"/>
      <c r="Q66" s="135">
        <v>121.42</v>
      </c>
      <c r="R66" s="136"/>
      <c r="S66" s="135">
        <v>124.85</v>
      </c>
      <c r="T66" s="136"/>
      <c r="U66" s="135">
        <v>129.44</v>
      </c>
      <c r="V66" s="136"/>
      <c r="W66" s="135">
        <v>134.93</v>
      </c>
      <c r="X66" s="136"/>
      <c r="Y66" s="135">
        <v>141.09</v>
      </c>
      <c r="Z66" s="136"/>
      <c r="AA66" s="135">
        <v>147.72</v>
      </c>
      <c r="AC66" s="135">
        <v>117.21</v>
      </c>
    </row>
    <row r="67" spans="2:31">
      <c r="B67" s="139">
        <f t="shared" si="4"/>
        <v>64</v>
      </c>
      <c r="C67" s="133">
        <f t="shared" si="5"/>
        <v>46927</v>
      </c>
      <c r="D67" s="133">
        <f t="shared" si="3"/>
        <v>46957</v>
      </c>
      <c r="E67" s="196">
        <v>2.9235099999999998</v>
      </c>
      <c r="G67" s="135">
        <v>129.22999999999999</v>
      </c>
      <c r="H67" s="136"/>
      <c r="I67" s="135">
        <v>123.43</v>
      </c>
      <c r="J67" s="136"/>
      <c r="K67" s="135">
        <v>119.36</v>
      </c>
      <c r="L67" s="136"/>
      <c r="M67" s="135">
        <v>118.71</v>
      </c>
      <c r="N67" s="136"/>
      <c r="O67" s="135">
        <v>119.36</v>
      </c>
      <c r="P67" s="136"/>
      <c r="Q67" s="135">
        <v>121.42</v>
      </c>
      <c r="R67" s="136"/>
      <c r="S67" s="135">
        <v>124.85</v>
      </c>
      <c r="T67" s="136"/>
      <c r="U67" s="135">
        <v>129.44</v>
      </c>
      <c r="V67" s="136"/>
      <c r="W67" s="135">
        <v>134.93</v>
      </c>
      <c r="X67" s="136"/>
      <c r="Y67" s="135">
        <v>141.09</v>
      </c>
      <c r="Z67" s="136"/>
      <c r="AA67" s="135">
        <v>147.72</v>
      </c>
      <c r="AC67" s="135">
        <v>117.21</v>
      </c>
    </row>
    <row r="68" spans="2:31">
      <c r="B68" s="139">
        <f t="shared" si="4"/>
        <v>65</v>
      </c>
      <c r="C68" s="133">
        <f t="shared" si="5"/>
        <v>46957</v>
      </c>
      <c r="D68" s="133">
        <f t="shared" ref="D68:D87" si="6">EDATE(C68,1)</f>
        <v>46988</v>
      </c>
      <c r="E68" s="196">
        <v>2.92387</v>
      </c>
      <c r="G68" s="135">
        <v>129.22999999999999</v>
      </c>
      <c r="H68" s="136"/>
      <c r="I68" s="135">
        <v>123.43</v>
      </c>
      <c r="J68" s="136"/>
      <c r="K68" s="135">
        <v>119.36</v>
      </c>
      <c r="L68" s="136"/>
      <c r="M68" s="135">
        <v>118.71</v>
      </c>
      <c r="N68" s="136"/>
      <c r="O68" s="135">
        <v>119.36</v>
      </c>
      <c r="P68" s="136"/>
      <c r="Q68" s="135">
        <v>121.42</v>
      </c>
      <c r="R68" s="136"/>
      <c r="S68" s="135">
        <v>124.85</v>
      </c>
      <c r="T68" s="136"/>
      <c r="U68" s="135">
        <v>129.44</v>
      </c>
      <c r="V68" s="136"/>
      <c r="W68" s="135">
        <v>134.93</v>
      </c>
      <c r="X68" s="136"/>
      <c r="Y68" s="135">
        <v>141.09</v>
      </c>
      <c r="Z68" s="136"/>
      <c r="AA68" s="135">
        <v>147.72</v>
      </c>
      <c r="AC68" s="135">
        <v>117.21</v>
      </c>
    </row>
    <row r="69" spans="2:31">
      <c r="B69" s="139">
        <f t="shared" ref="B69:B87" si="7">IF(C69="","",B68+1)</f>
        <v>66</v>
      </c>
      <c r="C69" s="133">
        <f t="shared" ref="C69:C87" si="8">EDATE(C68,1)</f>
        <v>46988</v>
      </c>
      <c r="D69" s="133">
        <f t="shared" si="6"/>
        <v>47019</v>
      </c>
      <c r="E69" s="196">
        <v>2.9236300000000002</v>
      </c>
      <c r="G69" s="135">
        <v>129.22999999999999</v>
      </c>
      <c r="H69" s="136"/>
      <c r="I69" s="135">
        <v>123.44</v>
      </c>
      <c r="J69" s="136"/>
      <c r="K69" s="135">
        <v>119.36</v>
      </c>
      <c r="L69" s="136"/>
      <c r="M69" s="135">
        <v>118.71</v>
      </c>
      <c r="N69" s="136"/>
      <c r="O69" s="135">
        <v>119.36</v>
      </c>
      <c r="P69" s="136"/>
      <c r="Q69" s="135">
        <v>121.42</v>
      </c>
      <c r="R69" s="136"/>
      <c r="S69" s="135">
        <v>124.84</v>
      </c>
      <c r="T69" s="136"/>
      <c r="U69" s="135">
        <v>129.43</v>
      </c>
      <c r="V69" s="136"/>
      <c r="W69" s="135">
        <v>134.93</v>
      </c>
      <c r="X69" s="136"/>
      <c r="Y69" s="135">
        <v>141.09</v>
      </c>
      <c r="Z69" s="136"/>
      <c r="AA69" s="135">
        <v>147.71</v>
      </c>
      <c r="AC69" s="135">
        <v>117.21</v>
      </c>
    </row>
    <row r="70" spans="2:31">
      <c r="B70" s="139">
        <f t="shared" si="7"/>
        <v>67</v>
      </c>
      <c r="C70" s="133">
        <f t="shared" si="8"/>
        <v>47019</v>
      </c>
      <c r="D70" s="133">
        <f t="shared" si="6"/>
        <v>47049</v>
      </c>
      <c r="E70" s="196">
        <v>2.9235099999999998</v>
      </c>
      <c r="G70" s="135">
        <v>129.22999999999999</v>
      </c>
      <c r="H70" s="136"/>
      <c r="I70" s="135">
        <v>123.43</v>
      </c>
      <c r="J70" s="136"/>
      <c r="K70" s="135">
        <v>119.36</v>
      </c>
      <c r="L70" s="136"/>
      <c r="M70" s="135">
        <v>118.71</v>
      </c>
      <c r="N70" s="136"/>
      <c r="O70" s="135">
        <v>119.36</v>
      </c>
      <c r="P70" s="136"/>
      <c r="Q70" s="135">
        <v>121.42</v>
      </c>
      <c r="R70" s="136"/>
      <c r="S70" s="135">
        <v>124.85</v>
      </c>
      <c r="T70" s="136"/>
      <c r="U70" s="135">
        <v>129.44</v>
      </c>
      <c r="V70" s="136"/>
      <c r="W70" s="135">
        <v>134.93</v>
      </c>
      <c r="X70" s="136"/>
      <c r="Y70" s="135">
        <v>141.09</v>
      </c>
      <c r="Z70" s="136"/>
      <c r="AA70" s="135">
        <v>147.72</v>
      </c>
      <c r="AC70" s="135">
        <v>117.21</v>
      </c>
    </row>
    <row r="71" spans="2:31">
      <c r="B71" s="139">
        <f t="shared" si="7"/>
        <v>68</v>
      </c>
      <c r="C71" s="133">
        <f t="shared" si="8"/>
        <v>47049</v>
      </c>
      <c r="D71" s="133">
        <f t="shared" si="6"/>
        <v>47080</v>
      </c>
      <c r="E71" s="196">
        <v>2.92387</v>
      </c>
      <c r="G71" s="135">
        <v>129.22999999999999</v>
      </c>
      <c r="H71" s="136"/>
      <c r="I71" s="135">
        <v>123.44</v>
      </c>
      <c r="J71" s="136"/>
      <c r="K71" s="135">
        <v>119.36</v>
      </c>
      <c r="L71" s="136"/>
      <c r="M71" s="135">
        <v>118.71</v>
      </c>
      <c r="N71" s="136"/>
      <c r="O71" s="135">
        <v>119.36</v>
      </c>
      <c r="P71" s="136"/>
      <c r="Q71" s="135">
        <v>121.42</v>
      </c>
      <c r="R71" s="136"/>
      <c r="S71" s="135">
        <v>124.84</v>
      </c>
      <c r="T71" s="136"/>
      <c r="U71" s="135">
        <v>129.43</v>
      </c>
      <c r="V71" s="136"/>
      <c r="W71" s="135">
        <v>134.91999999999999</v>
      </c>
      <c r="X71" s="136"/>
      <c r="Y71" s="135">
        <v>141.08000000000001</v>
      </c>
      <c r="Z71" s="136"/>
      <c r="AA71" s="135">
        <v>147.71</v>
      </c>
      <c r="AC71" s="135">
        <v>117.21</v>
      </c>
    </row>
    <row r="72" spans="2:31">
      <c r="B72" s="139">
        <f t="shared" si="7"/>
        <v>69</v>
      </c>
      <c r="C72" s="133">
        <f t="shared" si="8"/>
        <v>47080</v>
      </c>
      <c r="D72" s="133">
        <f t="shared" si="6"/>
        <v>47110</v>
      </c>
      <c r="E72" s="196">
        <v>2.9235099999999998</v>
      </c>
      <c r="G72" s="135">
        <v>129.22999999999999</v>
      </c>
      <c r="H72" s="136"/>
      <c r="I72" s="135">
        <v>123.44</v>
      </c>
      <c r="J72" s="136"/>
      <c r="K72" s="135">
        <v>119.36</v>
      </c>
      <c r="L72" s="136"/>
      <c r="M72" s="135">
        <v>118.71</v>
      </c>
      <c r="N72" s="136"/>
      <c r="O72" s="135">
        <v>119.35</v>
      </c>
      <c r="P72" s="136"/>
      <c r="Q72" s="135">
        <v>121.41</v>
      </c>
      <c r="R72" s="136"/>
      <c r="S72" s="135">
        <v>124.84</v>
      </c>
      <c r="T72" s="136"/>
      <c r="U72" s="135">
        <v>129.41999999999999</v>
      </c>
      <c r="V72" s="136"/>
      <c r="W72" s="135">
        <v>134.91999999999999</v>
      </c>
      <c r="X72" s="136"/>
      <c r="Y72" s="135">
        <v>141.07</v>
      </c>
      <c r="Z72" s="136"/>
      <c r="AA72" s="135">
        <v>147.69999999999999</v>
      </c>
      <c r="AC72" s="135">
        <v>117.21</v>
      </c>
    </row>
    <row r="73" spans="2:31">
      <c r="B73" s="139">
        <f t="shared" si="7"/>
        <v>70</v>
      </c>
      <c r="C73" s="133">
        <f t="shared" si="8"/>
        <v>47110</v>
      </c>
      <c r="D73" s="133">
        <f t="shared" si="6"/>
        <v>47141</v>
      </c>
      <c r="E73" s="196">
        <v>2.9237500000000001</v>
      </c>
      <c r="G73" s="135">
        <v>129.22999999999999</v>
      </c>
      <c r="H73" s="136"/>
      <c r="I73" s="135">
        <v>123.44</v>
      </c>
      <c r="J73" s="136"/>
      <c r="K73" s="135">
        <v>119.36</v>
      </c>
      <c r="L73" s="136"/>
      <c r="M73" s="135">
        <v>118.71</v>
      </c>
      <c r="N73" s="136"/>
      <c r="O73" s="135">
        <v>119.36</v>
      </c>
      <c r="P73" s="136"/>
      <c r="Q73" s="135">
        <v>121.42</v>
      </c>
      <c r="R73" s="136"/>
      <c r="S73" s="135">
        <v>124.84</v>
      </c>
      <c r="T73" s="136"/>
      <c r="U73" s="135">
        <v>129.43</v>
      </c>
      <c r="V73" s="136"/>
      <c r="W73" s="135">
        <v>134.91999999999999</v>
      </c>
      <c r="X73" s="136"/>
      <c r="Y73" s="135">
        <v>141.08000000000001</v>
      </c>
      <c r="Z73" s="136"/>
      <c r="AA73" s="135">
        <v>147.69999999999999</v>
      </c>
      <c r="AC73" s="135">
        <v>116.94</v>
      </c>
    </row>
    <row r="74" spans="2:31">
      <c r="B74" s="139">
        <f t="shared" si="7"/>
        <v>71</v>
      </c>
      <c r="C74" s="133">
        <f t="shared" si="8"/>
        <v>47141</v>
      </c>
      <c r="D74" s="133">
        <f t="shared" si="6"/>
        <v>47172</v>
      </c>
      <c r="E74" s="196">
        <v>2.9237500000000001</v>
      </c>
      <c r="G74" s="135">
        <v>126.38</v>
      </c>
      <c r="H74" s="136"/>
      <c r="I74" s="135">
        <v>120.79</v>
      </c>
      <c r="J74" s="136"/>
      <c r="K74" s="135">
        <v>116.83</v>
      </c>
      <c r="L74" s="136"/>
      <c r="M74" s="135">
        <v>116.18</v>
      </c>
      <c r="N74" s="136"/>
      <c r="O74" s="135">
        <v>116.77</v>
      </c>
      <c r="P74" s="136"/>
      <c r="Q74" s="135">
        <v>118.71</v>
      </c>
      <c r="R74" s="136"/>
      <c r="S74" s="135">
        <v>121.96</v>
      </c>
      <c r="T74" s="136"/>
      <c r="U74" s="135">
        <v>126.34</v>
      </c>
      <c r="V74" s="136"/>
      <c r="W74" s="135">
        <v>131.61000000000001</v>
      </c>
      <c r="X74" s="136"/>
      <c r="Y74" s="135">
        <v>137.52000000000001</v>
      </c>
      <c r="Z74" s="136"/>
      <c r="AA74" s="135">
        <v>143.9</v>
      </c>
      <c r="AC74" s="135">
        <v>114.5</v>
      </c>
    </row>
    <row r="75" spans="2:31" s="140" customFormat="1">
      <c r="B75" s="138">
        <f t="shared" si="7"/>
        <v>72</v>
      </c>
      <c r="C75" s="137">
        <f t="shared" si="8"/>
        <v>47172</v>
      </c>
      <c r="D75" s="137">
        <f t="shared" si="6"/>
        <v>47200</v>
      </c>
      <c r="E75" s="196">
        <v>2.92327</v>
      </c>
      <c r="G75" s="141">
        <v>123.32</v>
      </c>
      <c r="H75" s="142"/>
      <c r="I75" s="141">
        <v>117.94</v>
      </c>
      <c r="J75" s="142"/>
      <c r="K75" s="141">
        <v>114.12</v>
      </c>
      <c r="L75" s="142"/>
      <c r="M75" s="141">
        <v>113.47</v>
      </c>
      <c r="N75" s="142"/>
      <c r="O75" s="141">
        <v>113.99</v>
      </c>
      <c r="P75" s="142"/>
      <c r="Q75" s="141">
        <v>115.81</v>
      </c>
      <c r="R75" s="142"/>
      <c r="S75" s="141">
        <v>118.88</v>
      </c>
      <c r="T75" s="142"/>
      <c r="U75" s="141">
        <v>123.04</v>
      </c>
      <c r="V75" s="142"/>
      <c r="W75" s="141">
        <v>128.06</v>
      </c>
      <c r="X75" s="142"/>
      <c r="Y75" s="141">
        <v>133.72</v>
      </c>
      <c r="Z75" s="142"/>
      <c r="AA75" s="141">
        <v>139.84</v>
      </c>
      <c r="AC75" s="141">
        <v>111.76</v>
      </c>
      <c r="AE75"/>
    </row>
    <row r="76" spans="2:31">
      <c r="B76" s="139">
        <f t="shared" si="7"/>
        <v>73</v>
      </c>
      <c r="C76" s="133">
        <f t="shared" si="8"/>
        <v>47200</v>
      </c>
      <c r="D76" s="133">
        <f t="shared" si="6"/>
        <v>47231</v>
      </c>
      <c r="E76" s="196">
        <v>2.9624100000000002</v>
      </c>
      <c r="G76" s="135">
        <v>120.45</v>
      </c>
      <c r="H76" s="136"/>
      <c r="I76" s="135">
        <v>115.28</v>
      </c>
      <c r="J76" s="136"/>
      <c r="K76" s="135">
        <v>111.59</v>
      </c>
      <c r="L76" s="136"/>
      <c r="M76" s="135">
        <v>110.94</v>
      </c>
      <c r="N76" s="136"/>
      <c r="O76" s="135">
        <v>111.4</v>
      </c>
      <c r="P76" s="136"/>
      <c r="Q76" s="135">
        <v>113.1</v>
      </c>
      <c r="R76" s="136"/>
      <c r="S76" s="135">
        <v>116.01</v>
      </c>
      <c r="T76" s="136"/>
      <c r="U76" s="135">
        <v>119.97</v>
      </c>
      <c r="V76" s="136"/>
      <c r="W76" s="135">
        <v>124.76</v>
      </c>
      <c r="X76" s="136"/>
      <c r="Y76" s="135">
        <v>130.18</v>
      </c>
      <c r="Z76" s="136"/>
      <c r="AA76" s="135">
        <v>136.05000000000001</v>
      </c>
      <c r="AC76" s="135">
        <v>109.11</v>
      </c>
    </row>
    <row r="77" spans="2:31">
      <c r="B77" s="139">
        <f t="shared" si="7"/>
        <v>74</v>
      </c>
      <c r="C77" s="133">
        <f t="shared" si="8"/>
        <v>47231</v>
      </c>
      <c r="D77" s="133">
        <f t="shared" si="6"/>
        <v>47261</v>
      </c>
      <c r="E77" s="196">
        <v>2.96496</v>
      </c>
      <c r="G77" s="135">
        <v>120.46</v>
      </c>
      <c r="H77" s="136"/>
      <c r="I77" s="135">
        <v>115.29</v>
      </c>
      <c r="J77" s="136"/>
      <c r="K77" s="135">
        <v>111.59</v>
      </c>
      <c r="L77" s="136"/>
      <c r="M77" s="135">
        <v>110.94</v>
      </c>
      <c r="N77" s="136"/>
      <c r="O77" s="135">
        <v>111.4</v>
      </c>
      <c r="P77" s="136"/>
      <c r="Q77" s="135">
        <v>113.1</v>
      </c>
      <c r="R77" s="136"/>
      <c r="S77" s="135">
        <v>116.01</v>
      </c>
      <c r="T77" s="136"/>
      <c r="U77" s="135">
        <v>119.97</v>
      </c>
      <c r="V77" s="136"/>
      <c r="W77" s="135">
        <v>124.76</v>
      </c>
      <c r="X77" s="136"/>
      <c r="Y77" s="135">
        <v>130.18</v>
      </c>
      <c r="Z77" s="136"/>
      <c r="AA77" s="135">
        <v>136.06</v>
      </c>
      <c r="AC77" s="135">
        <v>109.1</v>
      </c>
    </row>
    <row r="78" spans="2:31">
      <c r="B78" s="139">
        <f t="shared" si="7"/>
        <v>75</v>
      </c>
      <c r="C78" s="133">
        <f t="shared" si="8"/>
        <v>47261</v>
      </c>
      <c r="D78" s="133">
        <f t="shared" si="6"/>
        <v>47292</v>
      </c>
      <c r="E78" s="196">
        <v>2.9650799999999999</v>
      </c>
      <c r="G78" s="135">
        <v>120.46</v>
      </c>
      <c r="H78" s="136"/>
      <c r="I78" s="135">
        <v>115.29</v>
      </c>
      <c r="J78" s="136"/>
      <c r="K78" s="135">
        <v>111.59</v>
      </c>
      <c r="L78" s="136"/>
      <c r="M78" s="135">
        <v>110.94</v>
      </c>
      <c r="N78" s="136"/>
      <c r="O78" s="135">
        <v>111.4</v>
      </c>
      <c r="P78" s="136"/>
      <c r="Q78" s="135">
        <v>113.1</v>
      </c>
      <c r="R78" s="136"/>
      <c r="S78" s="135">
        <v>116.01</v>
      </c>
      <c r="T78" s="136"/>
      <c r="U78" s="135">
        <v>119.96</v>
      </c>
      <c r="V78" s="136"/>
      <c r="W78" s="135">
        <v>124.76</v>
      </c>
      <c r="X78" s="136"/>
      <c r="Y78" s="135">
        <v>130.18</v>
      </c>
      <c r="Z78" s="136"/>
      <c r="AA78" s="135">
        <v>136.05000000000001</v>
      </c>
      <c r="AC78" s="135">
        <v>109.11</v>
      </c>
    </row>
    <row r="79" spans="2:31">
      <c r="B79" s="139">
        <f t="shared" si="7"/>
        <v>76</v>
      </c>
      <c r="C79" s="133">
        <f t="shared" si="8"/>
        <v>47292</v>
      </c>
      <c r="D79" s="133">
        <f t="shared" si="6"/>
        <v>47322</v>
      </c>
      <c r="E79" s="196">
        <v>2.96496</v>
      </c>
      <c r="G79" s="135">
        <v>120.46</v>
      </c>
      <c r="H79" s="136"/>
      <c r="I79" s="135">
        <v>115.29</v>
      </c>
      <c r="J79" s="136"/>
      <c r="K79" s="135">
        <v>111.59</v>
      </c>
      <c r="L79" s="136"/>
      <c r="M79" s="135">
        <v>110.94</v>
      </c>
      <c r="N79" s="136"/>
      <c r="O79" s="135">
        <v>111.4</v>
      </c>
      <c r="P79" s="136"/>
      <c r="Q79" s="135">
        <v>113.1</v>
      </c>
      <c r="R79" s="136"/>
      <c r="S79" s="135">
        <v>116.01</v>
      </c>
      <c r="T79" s="136"/>
      <c r="U79" s="135">
        <v>119.97</v>
      </c>
      <c r="V79" s="136"/>
      <c r="W79" s="135">
        <v>124.76</v>
      </c>
      <c r="X79" s="136"/>
      <c r="Y79" s="135">
        <v>130.19</v>
      </c>
      <c r="Z79" s="136"/>
      <c r="AA79" s="135">
        <v>136.06</v>
      </c>
      <c r="AC79" s="135">
        <v>109.11</v>
      </c>
    </row>
    <row r="80" spans="2:31">
      <c r="B80" s="139">
        <f t="shared" si="7"/>
        <v>77</v>
      </c>
      <c r="C80" s="133">
        <f t="shared" si="8"/>
        <v>47322</v>
      </c>
      <c r="D80" s="133">
        <f t="shared" si="6"/>
        <v>47353</v>
      </c>
      <c r="E80" s="196">
        <v>2.9653200000000002</v>
      </c>
      <c r="G80" s="135">
        <v>120.46</v>
      </c>
      <c r="H80" s="136"/>
      <c r="I80" s="135">
        <v>115.29</v>
      </c>
      <c r="J80" s="136"/>
      <c r="K80" s="135">
        <v>111.59</v>
      </c>
      <c r="L80" s="136"/>
      <c r="M80" s="135">
        <v>110.94</v>
      </c>
      <c r="N80" s="136"/>
      <c r="O80" s="135">
        <v>111.4</v>
      </c>
      <c r="P80" s="136"/>
      <c r="Q80" s="135">
        <v>113.1</v>
      </c>
      <c r="R80" s="136"/>
      <c r="S80" s="135">
        <v>116.01</v>
      </c>
      <c r="T80" s="136"/>
      <c r="U80" s="135">
        <v>119.96</v>
      </c>
      <c r="V80" s="136"/>
      <c r="W80" s="135">
        <v>124.76</v>
      </c>
      <c r="X80" s="136"/>
      <c r="Y80" s="135">
        <v>130.18</v>
      </c>
      <c r="Z80" s="136"/>
      <c r="AA80" s="135">
        <v>136.06</v>
      </c>
      <c r="AC80" s="135">
        <v>109.1</v>
      </c>
    </row>
    <row r="81" spans="2:29">
      <c r="B81" s="139">
        <f t="shared" si="7"/>
        <v>78</v>
      </c>
      <c r="C81" s="133">
        <f t="shared" si="8"/>
        <v>47353</v>
      </c>
      <c r="D81" s="133">
        <f t="shared" si="6"/>
        <v>47384</v>
      </c>
      <c r="E81" s="196">
        <v>2.9650799999999999</v>
      </c>
      <c r="G81" s="135">
        <v>120.47</v>
      </c>
      <c r="H81" s="136"/>
      <c r="I81" s="135">
        <v>115.3</v>
      </c>
      <c r="J81" s="136"/>
      <c r="K81" s="135">
        <v>111.6</v>
      </c>
      <c r="L81" s="136"/>
      <c r="M81" s="135">
        <v>110.94</v>
      </c>
      <c r="N81" s="136"/>
      <c r="O81" s="135">
        <v>111.4</v>
      </c>
      <c r="P81" s="136"/>
      <c r="Q81" s="135">
        <v>113.1</v>
      </c>
      <c r="R81" s="136"/>
      <c r="S81" s="135">
        <v>116.01</v>
      </c>
      <c r="T81" s="136"/>
      <c r="U81" s="135">
        <v>119.96</v>
      </c>
      <c r="V81" s="136"/>
      <c r="W81" s="135">
        <v>124.76</v>
      </c>
      <c r="X81" s="136"/>
      <c r="Y81" s="135">
        <v>130.18</v>
      </c>
      <c r="Z81" s="136"/>
      <c r="AA81" s="135">
        <v>136.06</v>
      </c>
      <c r="AC81" s="135">
        <v>109.1</v>
      </c>
    </row>
    <row r="82" spans="2:29">
      <c r="B82" s="139">
        <f t="shared" si="7"/>
        <v>79</v>
      </c>
      <c r="C82" s="133">
        <f t="shared" si="8"/>
        <v>47384</v>
      </c>
      <c r="D82" s="133">
        <f t="shared" si="6"/>
        <v>47414</v>
      </c>
      <c r="E82" s="196">
        <v>2.96496</v>
      </c>
      <c r="G82" s="135">
        <v>120.47</v>
      </c>
      <c r="H82" s="136"/>
      <c r="I82" s="135">
        <v>115.3</v>
      </c>
      <c r="J82" s="136"/>
      <c r="K82" s="135">
        <v>111.6</v>
      </c>
      <c r="L82" s="136"/>
      <c r="M82" s="135">
        <v>110.94</v>
      </c>
      <c r="N82" s="136"/>
      <c r="O82" s="135">
        <v>111.4</v>
      </c>
      <c r="P82" s="136"/>
      <c r="Q82" s="135">
        <v>113.1</v>
      </c>
      <c r="R82" s="136"/>
      <c r="S82" s="135">
        <v>116.01</v>
      </c>
      <c r="T82" s="136"/>
      <c r="U82" s="135">
        <v>119.97</v>
      </c>
      <c r="V82" s="136"/>
      <c r="W82" s="135">
        <v>124.76</v>
      </c>
      <c r="X82" s="136"/>
      <c r="Y82" s="135">
        <v>130.19</v>
      </c>
      <c r="Z82" s="136"/>
      <c r="AA82" s="135">
        <v>136.06</v>
      </c>
      <c r="AC82" s="135">
        <v>109.1</v>
      </c>
    </row>
    <row r="83" spans="2:29">
      <c r="B83" s="139">
        <f t="shared" si="7"/>
        <v>80</v>
      </c>
      <c r="C83" s="133">
        <f t="shared" si="8"/>
        <v>47414</v>
      </c>
      <c r="D83" s="133">
        <f t="shared" si="6"/>
        <v>47445</v>
      </c>
      <c r="E83" s="196">
        <v>2.9651999999999998</v>
      </c>
      <c r="G83" s="135">
        <v>120.47</v>
      </c>
      <c r="H83" s="136"/>
      <c r="I83" s="135">
        <v>115.3</v>
      </c>
      <c r="J83" s="136"/>
      <c r="K83" s="135">
        <v>111.6</v>
      </c>
      <c r="L83" s="136"/>
      <c r="M83" s="135">
        <v>110.94</v>
      </c>
      <c r="N83" s="136"/>
      <c r="O83" s="135">
        <v>111.4</v>
      </c>
      <c r="P83" s="136"/>
      <c r="Q83" s="135">
        <v>113.1</v>
      </c>
      <c r="R83" s="136"/>
      <c r="S83" s="135">
        <v>116.01</v>
      </c>
      <c r="T83" s="136"/>
      <c r="U83" s="135">
        <v>119.96</v>
      </c>
      <c r="V83" s="136"/>
      <c r="W83" s="135">
        <v>124.76</v>
      </c>
      <c r="X83" s="136"/>
      <c r="Y83" s="135">
        <v>130.19</v>
      </c>
      <c r="Z83" s="136"/>
      <c r="AA83" s="135">
        <v>136.06</v>
      </c>
      <c r="AC83" s="135">
        <v>109.1</v>
      </c>
    </row>
    <row r="84" spans="2:29">
      <c r="B84" s="139">
        <f t="shared" si="7"/>
        <v>81</v>
      </c>
      <c r="C84" s="133">
        <f t="shared" si="8"/>
        <v>47445</v>
      </c>
      <c r="D84" s="133">
        <f t="shared" si="6"/>
        <v>47475</v>
      </c>
      <c r="E84" s="196">
        <v>2.96496</v>
      </c>
      <c r="G84" s="135">
        <v>120.47</v>
      </c>
      <c r="H84" s="136"/>
      <c r="I84" s="135">
        <v>115.3</v>
      </c>
      <c r="J84" s="136"/>
      <c r="K84" s="135">
        <v>111.6</v>
      </c>
      <c r="L84" s="136"/>
      <c r="M84" s="135">
        <v>110.94</v>
      </c>
      <c r="N84" s="136"/>
      <c r="O84" s="135">
        <v>111.4</v>
      </c>
      <c r="P84" s="136"/>
      <c r="Q84" s="135">
        <v>113.1</v>
      </c>
      <c r="R84" s="136"/>
      <c r="S84" s="135">
        <v>116.01</v>
      </c>
      <c r="T84" s="136"/>
      <c r="U84" s="135">
        <v>119.96</v>
      </c>
      <c r="V84" s="136"/>
      <c r="W84" s="135">
        <v>124.76</v>
      </c>
      <c r="X84" s="136"/>
      <c r="Y84" s="135">
        <v>130.19</v>
      </c>
      <c r="Z84" s="136"/>
      <c r="AA84" s="135">
        <v>136.06</v>
      </c>
      <c r="AC84" s="135">
        <v>109.1</v>
      </c>
    </row>
    <row r="85" spans="2:29">
      <c r="B85" s="139">
        <f t="shared" si="7"/>
        <v>82</v>
      </c>
      <c r="C85" s="133">
        <f t="shared" si="8"/>
        <v>47475</v>
      </c>
      <c r="D85" s="133">
        <f t="shared" si="6"/>
        <v>47506</v>
      </c>
      <c r="E85" s="196">
        <v>2.9651999999999998</v>
      </c>
      <c r="G85" s="135">
        <v>120.47</v>
      </c>
      <c r="H85" s="136"/>
      <c r="I85" s="135">
        <v>115.3</v>
      </c>
      <c r="J85" s="136"/>
      <c r="K85" s="135">
        <v>111.6</v>
      </c>
      <c r="L85" s="136"/>
      <c r="M85" s="135">
        <v>110.94</v>
      </c>
      <c r="N85" s="136"/>
      <c r="O85" s="135">
        <v>111.4</v>
      </c>
      <c r="P85" s="136"/>
      <c r="Q85" s="135">
        <v>113.1</v>
      </c>
      <c r="R85" s="136"/>
      <c r="S85" s="135">
        <v>116.01</v>
      </c>
      <c r="T85" s="136"/>
      <c r="U85" s="135">
        <v>119.97</v>
      </c>
      <c r="V85" s="136"/>
      <c r="W85" s="135">
        <v>124.77</v>
      </c>
      <c r="X85" s="136"/>
      <c r="Y85" s="135">
        <v>130.19</v>
      </c>
      <c r="Z85" s="136"/>
      <c r="AA85" s="135">
        <v>136.07</v>
      </c>
      <c r="AC85" s="135">
        <v>109.12</v>
      </c>
    </row>
    <row r="86" spans="2:29">
      <c r="B86" s="139">
        <f t="shared" si="7"/>
        <v>83</v>
      </c>
      <c r="C86" s="133">
        <f t="shared" si="8"/>
        <v>47506</v>
      </c>
      <c r="D86" s="133">
        <f t="shared" si="6"/>
        <v>47537</v>
      </c>
      <c r="E86" s="196">
        <v>2.9650799999999999</v>
      </c>
      <c r="G86" s="135">
        <v>119.3</v>
      </c>
      <c r="H86" s="136"/>
      <c r="I86" s="135">
        <v>113.47</v>
      </c>
      <c r="J86" s="136"/>
      <c r="K86" s="135">
        <v>109.38</v>
      </c>
      <c r="L86" s="136"/>
      <c r="M86" s="135">
        <v>108.76</v>
      </c>
      <c r="N86" s="136"/>
      <c r="O86" s="135">
        <v>109.48</v>
      </c>
      <c r="P86" s="136"/>
      <c r="Q86" s="135">
        <v>111.65</v>
      </c>
      <c r="R86" s="136"/>
      <c r="S86" s="135">
        <v>115.18</v>
      </c>
      <c r="T86" s="136"/>
      <c r="U86" s="135">
        <v>119.82</v>
      </c>
      <c r="V86" s="136"/>
      <c r="W86" s="135">
        <v>125.3</v>
      </c>
      <c r="X86" s="136"/>
      <c r="Y86" s="135">
        <v>131.38</v>
      </c>
      <c r="Z86" s="136"/>
      <c r="AA86" s="135">
        <v>137.86000000000001</v>
      </c>
      <c r="AC86" s="135">
        <v>109.72</v>
      </c>
    </row>
    <row r="87" spans="2:29">
      <c r="B87" s="138">
        <f t="shared" si="7"/>
        <v>84</v>
      </c>
      <c r="C87" s="137">
        <f t="shared" si="8"/>
        <v>47537</v>
      </c>
      <c r="D87" s="137">
        <f t="shared" si="6"/>
        <v>47565</v>
      </c>
      <c r="E87" s="196">
        <v>2.9647100000000002</v>
      </c>
      <c r="G87" s="135">
        <v>118.14</v>
      </c>
      <c r="H87" s="136"/>
      <c r="I87" s="135">
        <v>111.68</v>
      </c>
      <c r="J87" s="136"/>
      <c r="K87" s="135">
        <v>107.22</v>
      </c>
      <c r="L87" s="136"/>
      <c r="M87" s="135">
        <v>106.65</v>
      </c>
      <c r="N87" s="136"/>
      <c r="O87" s="135">
        <v>107.64</v>
      </c>
      <c r="P87" s="136"/>
      <c r="Q87" s="135">
        <v>110.28</v>
      </c>
      <c r="R87" s="136"/>
      <c r="S87" s="135">
        <v>114.41</v>
      </c>
      <c r="T87" s="136"/>
      <c r="U87" s="135">
        <v>119.72</v>
      </c>
      <c r="V87" s="136"/>
      <c r="W87" s="135">
        <v>125.85</v>
      </c>
      <c r="X87" s="136"/>
      <c r="Y87" s="135">
        <v>132.56</v>
      </c>
      <c r="Z87" s="136"/>
      <c r="AA87" s="135">
        <v>139.63999999999999</v>
      </c>
      <c r="AC87" s="135">
        <v>110.37</v>
      </c>
    </row>
    <row r="88" spans="2:29">
      <c r="B88" s="134"/>
      <c r="C88" s="133"/>
      <c r="D88" s="133"/>
      <c r="E88" s="132">
        <v>3.0059100000000001</v>
      </c>
      <c r="G88" s="132"/>
      <c r="I88" s="132"/>
      <c r="K88" s="132"/>
      <c r="M88" s="132"/>
      <c r="O88" s="132"/>
      <c r="Q88" s="132"/>
      <c r="S88" s="132"/>
      <c r="U88" s="132"/>
      <c r="W88" s="132"/>
      <c r="Y88" s="132"/>
      <c r="AA88" s="132"/>
      <c r="AC88" s="132"/>
    </row>
    <row r="89" spans="2:29">
      <c r="E89" s="132">
        <v>3.0059100000000001</v>
      </c>
      <c r="G89" s="132"/>
      <c r="I89" s="132"/>
      <c r="K89" s="132"/>
      <c r="M89" s="132"/>
      <c r="O89" s="132"/>
      <c r="Q89" s="132"/>
      <c r="S89" s="132"/>
      <c r="U89" s="132"/>
      <c r="W89" s="132"/>
      <c r="Y89" s="132"/>
      <c r="AA89" s="132"/>
      <c r="AC89" s="132"/>
    </row>
    <row r="90" spans="2:29">
      <c r="E90" s="132">
        <v>3.0056600000000002</v>
      </c>
      <c r="G90" s="132"/>
      <c r="I90" s="132"/>
      <c r="K90" s="132"/>
      <c r="M90" s="132"/>
      <c r="O90" s="132"/>
      <c r="Q90" s="132"/>
      <c r="S90" s="132"/>
      <c r="U90" s="132"/>
      <c r="W90" s="132"/>
      <c r="Y90" s="132"/>
      <c r="AA90" s="132"/>
      <c r="AC90" s="132"/>
    </row>
    <row r="91" spans="2:29">
      <c r="E91" s="132">
        <v>3.0055299999999998</v>
      </c>
      <c r="G91" s="132"/>
      <c r="I91" s="132"/>
      <c r="K91" s="132"/>
      <c r="M91" s="132"/>
      <c r="O91" s="132"/>
      <c r="Q91" s="132"/>
      <c r="S91" s="132"/>
      <c r="U91" s="132"/>
      <c r="W91" s="132"/>
      <c r="Y91" s="132"/>
      <c r="AA91" s="132"/>
      <c r="AC91" s="132"/>
    </row>
    <row r="92" spans="2:29">
      <c r="E92" s="132">
        <v>3.0057800000000001</v>
      </c>
      <c r="G92" s="132"/>
      <c r="I92" s="132"/>
      <c r="K92" s="132"/>
      <c r="M92" s="132"/>
      <c r="O92" s="132"/>
      <c r="Q92" s="132"/>
      <c r="S92" s="132"/>
      <c r="U92" s="132"/>
      <c r="W92" s="132"/>
      <c r="Y92" s="132"/>
      <c r="AA92" s="132"/>
      <c r="AC92" s="132"/>
    </row>
    <row r="93" spans="2:29">
      <c r="E93" s="132">
        <v>3.0056600000000002</v>
      </c>
      <c r="G93" s="132"/>
      <c r="I93" s="132"/>
      <c r="K93" s="132"/>
      <c r="M93" s="132"/>
      <c r="O93" s="132"/>
      <c r="Q93" s="132"/>
      <c r="S93" s="132"/>
      <c r="U93" s="132"/>
      <c r="W93" s="132"/>
      <c r="Y93" s="132"/>
      <c r="AA93" s="132"/>
      <c r="AC93" s="132"/>
    </row>
    <row r="94" spans="2:29">
      <c r="E94" s="132">
        <v>3.0055299999999998</v>
      </c>
      <c r="G94" s="132"/>
      <c r="I94" s="132"/>
      <c r="K94" s="132"/>
      <c r="M94" s="132"/>
      <c r="O94" s="132"/>
      <c r="Q94" s="132"/>
      <c r="S94" s="132"/>
      <c r="U94" s="132"/>
      <c r="W94" s="132"/>
      <c r="Y94" s="132"/>
      <c r="AA94" s="132"/>
      <c r="AC94" s="132"/>
    </row>
    <row r="95" spans="2:29">
      <c r="E95" s="132">
        <v>3.0056600000000002</v>
      </c>
      <c r="G95" s="132"/>
      <c r="I95" s="132"/>
      <c r="K95" s="132"/>
      <c r="M95" s="132"/>
      <c r="O95" s="132"/>
      <c r="Q95" s="132"/>
      <c r="S95" s="132"/>
      <c r="U95" s="132"/>
      <c r="W95" s="132"/>
      <c r="Y95" s="132"/>
      <c r="AA95" s="132"/>
      <c r="AC95" s="132"/>
    </row>
    <row r="96" spans="2:29">
      <c r="E96" s="132">
        <v>3.0055299999999998</v>
      </c>
      <c r="G96" s="132"/>
      <c r="I96" s="132"/>
      <c r="K96" s="132"/>
      <c r="M96" s="132"/>
      <c r="O96" s="132"/>
      <c r="Q96" s="132"/>
      <c r="S96" s="132"/>
      <c r="U96" s="132"/>
      <c r="W96" s="132"/>
      <c r="Y96" s="132"/>
      <c r="AA96" s="132"/>
      <c r="AC96" s="132"/>
    </row>
    <row r="97" spans="5:29">
      <c r="E97" s="132">
        <v>3.0057800000000001</v>
      </c>
      <c r="G97" s="132"/>
      <c r="I97" s="132"/>
      <c r="K97" s="132"/>
      <c r="M97" s="132"/>
      <c r="O97" s="132"/>
      <c r="Q97" s="132"/>
      <c r="S97" s="132"/>
      <c r="U97" s="132"/>
      <c r="W97" s="132"/>
      <c r="Y97" s="132"/>
      <c r="AA97" s="132"/>
      <c r="AC97" s="132"/>
    </row>
    <row r="98" spans="5:29">
      <c r="E98" s="132">
        <v>3.0056600000000002</v>
      </c>
      <c r="G98" s="132"/>
      <c r="I98" s="132"/>
      <c r="K98" s="132"/>
      <c r="M98" s="132"/>
      <c r="O98" s="132"/>
      <c r="Q98" s="132"/>
      <c r="S98" s="132"/>
      <c r="U98" s="132"/>
      <c r="W98" s="132"/>
      <c r="Y98" s="132"/>
      <c r="AA98" s="132"/>
      <c r="AC98" s="132"/>
    </row>
    <row r="99" spans="5:29">
      <c r="E99" s="132">
        <v>3.00528</v>
      </c>
      <c r="G99" s="132"/>
      <c r="I99" s="132"/>
      <c r="K99" s="132"/>
      <c r="M99" s="132"/>
      <c r="O99" s="132"/>
      <c r="Q99" s="132"/>
      <c r="S99" s="132"/>
      <c r="U99" s="132"/>
      <c r="W99" s="132"/>
      <c r="Y99" s="132"/>
      <c r="AA99" s="132"/>
      <c r="AC99" s="132"/>
    </row>
    <row r="100" spans="5:29">
      <c r="E100" s="132">
        <v>3.1177000000000001</v>
      </c>
      <c r="G100" s="132"/>
      <c r="I100" s="132"/>
      <c r="K100" s="132"/>
      <c r="M100" s="132"/>
      <c r="O100" s="132"/>
      <c r="Q100" s="132"/>
      <c r="S100" s="132"/>
      <c r="U100" s="132"/>
      <c r="W100" s="132"/>
      <c r="Y100" s="132"/>
      <c r="AA100" s="132"/>
      <c r="AC100" s="132"/>
    </row>
    <row r="101" spans="5:29">
      <c r="E101" s="132">
        <v>3.1175700000000002</v>
      </c>
      <c r="G101" s="132"/>
      <c r="I101" s="132"/>
      <c r="K101" s="132"/>
      <c r="M101" s="132"/>
      <c r="O101" s="132"/>
      <c r="Q101" s="132"/>
      <c r="S101" s="132"/>
      <c r="U101" s="132"/>
      <c r="W101" s="132"/>
      <c r="Y101" s="132"/>
      <c r="AA101" s="132"/>
      <c r="AC101" s="132"/>
    </row>
    <row r="102" spans="5:29">
      <c r="E102" s="132">
        <v>3.1177000000000001</v>
      </c>
      <c r="G102" s="132"/>
      <c r="I102" s="132"/>
      <c r="K102" s="132"/>
      <c r="M102" s="132"/>
      <c r="O102" s="132"/>
      <c r="Q102" s="132"/>
      <c r="S102" s="132"/>
      <c r="U102" s="132"/>
      <c r="W102" s="132"/>
      <c r="Y102" s="132"/>
      <c r="AA102" s="132"/>
      <c r="AC102" s="132"/>
    </row>
    <row r="103" spans="5:29">
      <c r="E103" s="132">
        <v>3.1173000000000002</v>
      </c>
      <c r="G103" s="132"/>
      <c r="I103" s="132"/>
      <c r="K103" s="132"/>
      <c r="M103" s="132"/>
      <c r="O103" s="132"/>
      <c r="Q103" s="132"/>
      <c r="S103" s="132"/>
      <c r="U103" s="132"/>
      <c r="W103" s="132"/>
      <c r="Y103" s="132"/>
      <c r="AA103" s="132"/>
      <c r="AC103" s="132"/>
    </row>
    <row r="104" spans="5:29">
      <c r="E104" s="132">
        <v>3.1174300000000001</v>
      </c>
      <c r="G104" s="132"/>
      <c r="I104" s="132"/>
      <c r="K104" s="132"/>
      <c r="M104" s="132"/>
      <c r="O104" s="132"/>
      <c r="Q104" s="132"/>
      <c r="S104" s="132"/>
      <c r="U104" s="132"/>
      <c r="W104" s="132"/>
      <c r="Y104" s="132"/>
      <c r="AA104" s="132"/>
      <c r="AC104" s="132"/>
    </row>
    <row r="105" spans="5:29">
      <c r="E105" s="132">
        <v>3.1177000000000001</v>
      </c>
      <c r="G105" s="132"/>
      <c r="I105" s="132"/>
      <c r="K105" s="132"/>
      <c r="M105" s="132"/>
      <c r="O105" s="132"/>
      <c r="Q105" s="132"/>
      <c r="S105" s="132"/>
      <c r="U105" s="132"/>
      <c r="W105" s="132"/>
      <c r="Y105" s="132"/>
      <c r="AA105" s="132"/>
      <c r="AC105" s="132"/>
    </row>
    <row r="106" spans="5:29">
      <c r="E106" s="131">
        <v>3.1175700000000002</v>
      </c>
    </row>
    <row r="107" spans="5:29">
      <c r="E107" s="131">
        <v>3.1175700000000002</v>
      </c>
    </row>
    <row r="108" spans="5:29">
      <c r="E108" s="131">
        <v>3.1173000000000002</v>
      </c>
    </row>
    <row r="109" spans="5:29">
      <c r="E109" s="131">
        <v>3.1174300000000001</v>
      </c>
    </row>
    <row r="110" spans="5:29">
      <c r="E110" s="131">
        <v>3.1174300000000001</v>
      </c>
    </row>
    <row r="111" spans="5:29">
      <c r="E111" s="131">
        <v>3.1171600000000002</v>
      </c>
    </row>
    <row r="112" spans="5:29">
      <c r="E112" s="131">
        <v>3.1443400000000001</v>
      </c>
    </row>
    <row r="113" spans="5:5">
      <c r="E113" s="131">
        <v>3.1440700000000001</v>
      </c>
    </row>
    <row r="114" spans="5:5">
      <c r="E114" s="131">
        <v>3.1444800000000002</v>
      </c>
    </row>
    <row r="115" spans="5:5">
      <c r="E115" s="131">
        <v>3.1442100000000002</v>
      </c>
    </row>
    <row r="116" spans="5:5">
      <c r="E116" s="131">
        <v>3.1442100000000002</v>
      </c>
    </row>
    <row r="117" spans="5:5">
      <c r="E117" s="131">
        <v>3.1444800000000002</v>
      </c>
    </row>
    <row r="118" spans="5:5">
      <c r="E118" s="131">
        <v>3.1440700000000001</v>
      </c>
    </row>
    <row r="119" spans="5:5">
      <c r="E119" s="131">
        <v>3.1444800000000002</v>
      </c>
    </row>
    <row r="120" spans="5:5">
      <c r="E120" s="131">
        <v>3.1442100000000002</v>
      </c>
    </row>
    <row r="121" spans="5:5">
      <c r="E121" s="131">
        <v>3.1442100000000002</v>
      </c>
    </row>
    <row r="122" spans="5:5">
      <c r="E122" s="131">
        <v>3.1444800000000002</v>
      </c>
    </row>
    <row r="123" spans="5:5">
      <c r="E123" s="131">
        <v>3.1437900000000001</v>
      </c>
    </row>
  </sheetData>
  <sheetProtection algorithmName="SHA-512" hashValue="Ke637+cgmbmsoEm7LYBniAklZZkygOsjdPx0fxfh6qhTPvKV6sfVSSsZK7JhZGmNhFp6pczm5WptxCgzZv4cOA==" saltValue="zysyOBn+ioXj7T69zktOfw==" spinCount="100000" sheet="1" objects="1" scenarios="1"/>
  <pageMargins left="0.7" right="0.7" top="0.75" bottom="0.75" header="0.3" footer="0.3"/>
  <pageSetup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L99"/>
  <sheetViews>
    <sheetView showGridLines="0" zoomScale="85" zoomScaleNormal="85" workbookViewId="0">
      <selection activeCell="L15" sqref="L15:L98"/>
    </sheetView>
  </sheetViews>
  <sheetFormatPr defaultColWidth="14.28515625" defaultRowHeight="15.75" customHeight="1"/>
  <cols>
    <col min="1" max="1" width="14.28515625" style="45" customWidth="1"/>
    <col min="2" max="2" width="15.28515625" style="45" customWidth="1"/>
    <col min="3" max="3" width="8.140625" style="45" customWidth="1"/>
    <col min="4" max="5" width="10.85546875" style="45" customWidth="1"/>
    <col min="6" max="6" width="5.28515625" style="45" customWidth="1"/>
    <col min="7" max="7" width="8.140625" style="45" customWidth="1"/>
    <col min="8" max="8" width="17.28515625" style="45" customWidth="1"/>
    <col min="9" max="9" width="14.7109375" style="45" customWidth="1"/>
    <col min="10" max="10" width="14.5703125" style="45" customWidth="1"/>
    <col min="11" max="11" width="12.5703125" style="45" customWidth="1"/>
    <col min="12" max="12" width="14.5703125" style="45" customWidth="1"/>
    <col min="13" max="13" width="14.28515625" style="45" customWidth="1"/>
    <col min="14" max="14" width="17.140625" style="45" customWidth="1"/>
    <col min="15" max="15" width="14.28515625" style="45" customWidth="1"/>
    <col min="16" max="16" width="3.140625" style="45" customWidth="1"/>
    <col min="17" max="18" width="14.28515625" style="45" customWidth="1"/>
    <col min="19" max="19" width="2.85546875" style="45" customWidth="1"/>
    <col min="20" max="21" width="14.28515625" style="45" customWidth="1"/>
    <col min="22" max="22" width="8.140625" style="45" customWidth="1"/>
    <col min="23" max="24" width="10.28515625" style="45" customWidth="1"/>
    <col min="25" max="25" width="5.28515625" style="45" customWidth="1"/>
    <col min="26" max="26" width="8.140625" style="45" customWidth="1"/>
    <col min="27" max="28" width="17.28515625" style="45" customWidth="1"/>
    <col min="29" max="29" width="14.5703125" style="45" customWidth="1"/>
    <col min="30" max="30" width="12.5703125" style="45" customWidth="1"/>
    <col min="31" max="31" width="14.5703125" style="45" customWidth="1"/>
    <col min="32" max="32" width="14.28515625" style="45" customWidth="1"/>
    <col min="33" max="33" width="17.140625" style="45" customWidth="1"/>
    <col min="34" max="34" width="14.5703125" style="45" customWidth="1"/>
    <col min="35" max="35" width="2.85546875" style="45" customWidth="1"/>
    <col min="36" max="36" width="14.5703125" style="45" customWidth="1"/>
    <col min="37" max="37" width="16.7109375" style="45" customWidth="1"/>
    <col min="38" max="38" width="2.85546875" style="45" customWidth="1"/>
    <col min="39" max="39" width="14.5703125" style="45" customWidth="1"/>
    <col min="40" max="40" width="14.28515625" style="45" customWidth="1"/>
    <col min="41" max="41" width="8.140625" style="45" customWidth="1"/>
    <col min="42" max="43" width="10.28515625" style="45" customWidth="1"/>
    <col min="44" max="44" width="5.28515625" style="45" customWidth="1"/>
    <col min="45" max="45" width="8.140625" style="45" customWidth="1"/>
    <col min="46" max="47" width="17.28515625" style="45" customWidth="1"/>
    <col min="48" max="48" width="14.5703125" style="45" customWidth="1"/>
    <col min="49" max="49" width="12.5703125" style="45" customWidth="1"/>
    <col min="50" max="51" width="14.5703125" style="45" customWidth="1"/>
    <col min="52" max="52" width="17.140625" style="45" customWidth="1"/>
    <col min="53" max="53" width="14.5703125" style="45" customWidth="1"/>
    <col min="54" max="54" width="2.85546875" style="45" customWidth="1"/>
    <col min="55" max="55" width="14.5703125" style="45" customWidth="1"/>
    <col min="56" max="56" width="18.5703125" style="45" customWidth="1"/>
    <col min="57" max="57" width="2.85546875" style="45" customWidth="1"/>
    <col min="58" max="58" width="14.5703125" style="45" customWidth="1"/>
    <col min="59" max="59" width="14.28515625" style="45" customWidth="1"/>
    <col min="60" max="60" width="8.140625" style="45" customWidth="1"/>
    <col min="61" max="62" width="10.28515625" style="45" customWidth="1"/>
    <col min="63" max="63" width="5.28515625" style="45" customWidth="1"/>
    <col min="64" max="64" width="8.140625" style="45" customWidth="1"/>
    <col min="65" max="66" width="17.28515625" style="45" customWidth="1"/>
    <col min="67" max="67" width="14.5703125" style="45" customWidth="1"/>
    <col min="68" max="68" width="12.5703125" style="45" customWidth="1"/>
    <col min="69" max="70" width="14.5703125" style="45" customWidth="1"/>
    <col min="71" max="71" width="17.140625" style="45" customWidth="1"/>
    <col min="72" max="72" width="14.5703125" style="45" customWidth="1"/>
    <col min="73" max="73" width="2.85546875" style="45" customWidth="1"/>
    <col min="74" max="74" width="14.5703125" style="45" customWidth="1"/>
    <col min="75" max="75" width="20.28515625" style="45" customWidth="1"/>
    <col min="76" max="76" width="2.85546875" style="45" customWidth="1"/>
    <col min="77" max="77" width="14.5703125" style="45" customWidth="1"/>
    <col min="78" max="78" width="14.28515625" style="45" customWidth="1"/>
    <col min="79" max="79" width="8.140625" style="45" customWidth="1"/>
    <col min="80" max="81" width="10.28515625" style="45" customWidth="1"/>
    <col min="82" max="82" width="5.28515625" style="45" customWidth="1"/>
    <col min="83" max="83" width="8.140625" style="45" customWidth="1"/>
    <col min="84" max="85" width="17.28515625" style="45" customWidth="1"/>
    <col min="86" max="86" width="14.5703125" style="45" customWidth="1"/>
    <col min="87" max="87" width="12.5703125" style="45" customWidth="1"/>
    <col min="88" max="89" width="14.5703125" style="45" customWidth="1"/>
    <col min="90" max="90" width="17.140625" style="45" customWidth="1"/>
    <col min="91" max="91" width="14.5703125" style="45" customWidth="1"/>
    <col min="92" max="92" width="2.85546875" style="45" customWidth="1"/>
    <col min="93" max="93" width="14.5703125" style="45" customWidth="1"/>
    <col min="94" max="94" width="21.28515625" style="45" customWidth="1"/>
    <col min="95" max="95" width="2.85546875" style="45" customWidth="1"/>
    <col min="96" max="96" width="14.5703125" style="45" customWidth="1"/>
    <col min="97" max="97" width="14.28515625" style="45" customWidth="1"/>
    <col min="98" max="16384" width="14.28515625" style="45"/>
  </cols>
  <sheetData>
    <row r="1" spans="1:116" ht="15.75" customHeight="1">
      <c r="A1" s="44">
        <v>0.25</v>
      </c>
      <c r="K1" s="46" t="s">
        <v>41</v>
      </c>
      <c r="L1" s="46" t="s">
        <v>35</v>
      </c>
      <c r="AD1" s="46" t="s">
        <v>41</v>
      </c>
      <c r="AE1" s="46" t="s">
        <v>35</v>
      </c>
      <c r="AW1" s="46" t="s">
        <v>41</v>
      </c>
      <c r="AX1" s="46" t="s">
        <v>35</v>
      </c>
      <c r="BP1" s="46" t="s">
        <v>41</v>
      </c>
      <c r="BQ1" s="46" t="s">
        <v>35</v>
      </c>
      <c r="CI1" s="46" t="s">
        <v>41</v>
      </c>
      <c r="CJ1" s="46" t="s">
        <v>35</v>
      </c>
      <c r="CT1"/>
      <c r="CU1"/>
      <c r="CV1"/>
      <c r="CW1"/>
      <c r="CX1"/>
      <c r="CY1"/>
      <c r="CZ1"/>
      <c r="DA1"/>
      <c r="DB1"/>
      <c r="DC1"/>
      <c r="DD1"/>
      <c r="DE1"/>
      <c r="DF1"/>
      <c r="DG1"/>
      <c r="DH1"/>
      <c r="DI1"/>
      <c r="DJ1"/>
      <c r="DK1"/>
      <c r="DL1"/>
    </row>
    <row r="2" spans="1:116" ht="15.75" customHeight="1">
      <c r="A2" s="45" t="s">
        <v>0</v>
      </c>
      <c r="B2" s="47">
        <f>'Cap Pricer'!E18</f>
        <v>25000000</v>
      </c>
      <c r="F2" s="48" t="s">
        <v>15</v>
      </c>
      <c r="G2" s="49"/>
      <c r="H2" s="49"/>
      <c r="K2" s="50">
        <v>1E-4</v>
      </c>
      <c r="L2" s="50">
        <v>0.01</v>
      </c>
      <c r="M2" s="51"/>
      <c r="N2" s="52"/>
      <c r="Q2" s="52"/>
      <c r="T2" s="45" t="s">
        <v>32</v>
      </c>
      <c r="Y2" s="48" t="s">
        <v>15</v>
      </c>
      <c r="Z2" s="49"/>
      <c r="AA2" s="49"/>
      <c r="AD2" s="50">
        <v>1E-4</v>
      </c>
      <c r="AE2" s="50">
        <v>0.01</v>
      </c>
      <c r="AF2" s="53"/>
      <c r="AM2" s="45" t="s">
        <v>32</v>
      </c>
      <c r="AR2" s="48" t="s">
        <v>15</v>
      </c>
      <c r="AS2" s="49"/>
      <c r="AT2" s="49"/>
      <c r="AW2" s="50">
        <v>1E-4</v>
      </c>
      <c r="AX2" s="50">
        <v>0.01</v>
      </c>
      <c r="AY2" s="53"/>
      <c r="BF2" s="45" t="s">
        <v>32</v>
      </c>
      <c r="BK2" s="48" t="s">
        <v>15</v>
      </c>
      <c r="BL2" s="49"/>
      <c r="BM2" s="49"/>
      <c r="BP2" s="50">
        <v>1E-4</v>
      </c>
      <c r="BQ2" s="50">
        <v>0.01</v>
      </c>
      <c r="BR2" s="53"/>
      <c r="BY2" s="45" t="s">
        <v>32</v>
      </c>
      <c r="CD2" s="48" t="s">
        <v>15</v>
      </c>
      <c r="CE2" s="49"/>
      <c r="CF2" s="49"/>
      <c r="CI2" s="50">
        <v>1E-4</v>
      </c>
      <c r="CJ2" s="50">
        <v>0.01</v>
      </c>
      <c r="CK2" s="53"/>
      <c r="CR2" s="45" t="s">
        <v>32</v>
      </c>
      <c r="CT2"/>
      <c r="CU2"/>
      <c r="CV2"/>
      <c r="CW2"/>
      <c r="CX2"/>
      <c r="CY2"/>
      <c r="CZ2"/>
      <c r="DA2"/>
      <c r="DB2"/>
      <c r="DC2"/>
      <c r="DD2"/>
      <c r="DE2"/>
      <c r="DF2"/>
      <c r="DG2"/>
      <c r="DH2"/>
      <c r="DI2"/>
      <c r="DJ2"/>
      <c r="DK2"/>
      <c r="DL2"/>
    </row>
    <row r="3" spans="1:116" ht="15.75" customHeight="1">
      <c r="F3" s="52">
        <v>1</v>
      </c>
      <c r="G3" s="45" t="s">
        <v>16</v>
      </c>
      <c r="H3" s="54">
        <f ca="1">SUM(L15:L26)</f>
        <v>649097.68635592819</v>
      </c>
      <c r="I3" s="54"/>
      <c r="K3" s="50">
        <v>0.01</v>
      </c>
      <c r="L3" s="50">
        <v>0.02</v>
      </c>
      <c r="M3" s="55"/>
      <c r="N3" s="56"/>
      <c r="Q3" s="57"/>
      <c r="T3" s="45" t="s">
        <v>33</v>
      </c>
      <c r="Y3" s="52">
        <v>1</v>
      </c>
      <c r="Z3" s="45" t="s">
        <v>16</v>
      </c>
      <c r="AA3" s="54">
        <f ca="1">SUM(AE15:AE26)</f>
        <v>431834.58847542864</v>
      </c>
      <c r="AB3" s="54"/>
      <c r="AD3" s="50">
        <v>0.01</v>
      </c>
      <c r="AE3" s="50">
        <v>0.02</v>
      </c>
      <c r="AM3" s="45" t="s">
        <v>33</v>
      </c>
      <c r="AR3" s="52">
        <v>1</v>
      </c>
      <c r="AS3" s="45" t="s">
        <v>16</v>
      </c>
      <c r="AT3" s="54">
        <f ca="1">SUM(AX15:AX26)</f>
        <v>235228.85726091661</v>
      </c>
      <c r="AU3" s="54"/>
      <c r="AW3" s="50">
        <v>0.01</v>
      </c>
      <c r="AX3" s="50">
        <v>0.02</v>
      </c>
      <c r="BF3" s="45" t="s">
        <v>33</v>
      </c>
      <c r="BK3" s="52">
        <v>1</v>
      </c>
      <c r="BL3" s="45" t="s">
        <v>16</v>
      </c>
      <c r="BM3" s="54">
        <f ca="1">SUM(BQ15:BQ26)</f>
        <v>87555.112018960193</v>
      </c>
      <c r="BN3" s="54"/>
      <c r="BP3" s="50">
        <v>0.01</v>
      </c>
      <c r="BQ3" s="50">
        <v>0.02</v>
      </c>
      <c r="BY3" s="45" t="s">
        <v>33</v>
      </c>
      <c r="CD3" s="52">
        <v>1</v>
      </c>
      <c r="CE3" s="45" t="s">
        <v>16</v>
      </c>
      <c r="CF3" s="54">
        <f ca="1">SUM(CJ15:CJ26)</f>
        <v>21285.763988866678</v>
      </c>
      <c r="CG3" s="54"/>
      <c r="CI3" s="50">
        <v>0.01</v>
      </c>
      <c r="CJ3" s="50">
        <v>0.02</v>
      </c>
      <c r="CR3" s="45" t="s">
        <v>33</v>
      </c>
      <c r="CT3"/>
      <c r="CU3"/>
      <c r="CV3"/>
      <c r="CW3"/>
      <c r="CX3"/>
      <c r="CY3"/>
      <c r="CZ3"/>
      <c r="DA3"/>
      <c r="DB3"/>
      <c r="DC3"/>
      <c r="DD3"/>
      <c r="DE3"/>
      <c r="DF3"/>
      <c r="DG3"/>
      <c r="DH3"/>
      <c r="DI3"/>
      <c r="DJ3"/>
      <c r="DK3"/>
      <c r="DL3"/>
    </row>
    <row r="4" spans="1:116" ht="15.75" customHeight="1">
      <c r="A4" s="45" t="s">
        <v>31</v>
      </c>
      <c r="B4" s="58"/>
      <c r="F4" s="52">
        <v>2</v>
      </c>
      <c r="G4" s="45" t="s">
        <v>17</v>
      </c>
      <c r="H4" s="54">
        <f ca="1">SUM(L15:L38)</f>
        <v>1067145.4267674137</v>
      </c>
      <c r="I4" s="54"/>
      <c r="K4" s="50">
        <v>0.02</v>
      </c>
      <c r="L4" s="50">
        <v>2.5000000000000001E-2</v>
      </c>
      <c r="M4" s="55"/>
      <c r="N4" s="59"/>
      <c r="Q4" s="60"/>
      <c r="Y4" s="52">
        <v>2</v>
      </c>
      <c r="Z4" s="45" t="s">
        <v>17</v>
      </c>
      <c r="AA4" s="54">
        <f ca="1">SUM(AE15:AE38)</f>
        <v>706734.78482051403</v>
      </c>
      <c r="AB4" s="54"/>
      <c r="AD4" s="50">
        <v>0.02</v>
      </c>
      <c r="AE4" s="50">
        <v>2.5000000000000001E-2</v>
      </c>
      <c r="AR4" s="52">
        <v>2</v>
      </c>
      <c r="AS4" s="45" t="s">
        <v>17</v>
      </c>
      <c r="AT4" s="54">
        <f ca="1">SUM(AX15:AX38)</f>
        <v>397021.38122554944</v>
      </c>
      <c r="AU4" s="54"/>
      <c r="AW4" s="50">
        <v>0.02</v>
      </c>
      <c r="AX4" s="50">
        <v>2.5000000000000001E-2</v>
      </c>
      <c r="BK4" s="52">
        <v>2</v>
      </c>
      <c r="BL4" s="45" t="s">
        <v>17</v>
      </c>
      <c r="BM4" s="54">
        <f ca="1">SUM(BQ15:BQ38)</f>
        <v>172736.23564216419</v>
      </c>
      <c r="BN4" s="54"/>
      <c r="BP4" s="50">
        <v>0.02</v>
      </c>
      <c r="BQ4" s="50">
        <v>2.5000000000000001E-2</v>
      </c>
      <c r="CD4" s="52">
        <v>2</v>
      </c>
      <c r="CE4" s="45" t="s">
        <v>17</v>
      </c>
      <c r="CF4" s="54">
        <f ca="1">SUM(CJ15:CJ38)</f>
        <v>68483.433766395145</v>
      </c>
      <c r="CG4" s="54"/>
      <c r="CI4" s="50">
        <v>0.02</v>
      </c>
      <c r="CJ4" s="50">
        <v>2.5000000000000001E-2</v>
      </c>
      <c r="CT4"/>
      <c r="CU4"/>
      <c r="CV4"/>
      <c r="CW4"/>
      <c r="CX4"/>
      <c r="CY4"/>
      <c r="CZ4"/>
      <c r="DA4"/>
      <c r="DB4"/>
      <c r="DC4"/>
      <c r="DD4"/>
      <c r="DE4"/>
      <c r="DF4"/>
      <c r="DG4"/>
      <c r="DH4"/>
      <c r="DI4"/>
      <c r="DJ4"/>
      <c r="DK4"/>
      <c r="DL4"/>
    </row>
    <row r="5" spans="1:116" ht="15.75" customHeight="1">
      <c r="A5" s="45" t="s">
        <v>30</v>
      </c>
      <c r="F5" s="52">
        <v>3</v>
      </c>
      <c r="G5" s="45" t="s">
        <v>18</v>
      </c>
      <c r="H5" s="54">
        <f ca="1">SUM(L15:L50)</f>
        <v>1430176.1160543612</v>
      </c>
      <c r="I5" s="54"/>
      <c r="K5" s="50">
        <v>2.5000000000000001E-2</v>
      </c>
      <c r="L5" s="50">
        <v>0.03</v>
      </c>
      <c r="M5" s="55"/>
      <c r="N5" s="52"/>
      <c r="Q5" s="52"/>
      <c r="Y5" s="52">
        <v>3</v>
      </c>
      <c r="Z5" s="45" t="s">
        <v>18</v>
      </c>
      <c r="AA5" s="54">
        <f ca="1">SUM(AE15:AE50)</f>
        <v>948543.61931677023</v>
      </c>
      <c r="AB5" s="54"/>
      <c r="AD5" s="50">
        <v>2.5000000000000001E-2</v>
      </c>
      <c r="AE5" s="50">
        <v>0.03</v>
      </c>
      <c r="AR5" s="52">
        <v>3</v>
      </c>
      <c r="AS5" s="45" t="s">
        <v>18</v>
      </c>
      <c r="AT5" s="54">
        <f ca="1">SUM(AX15:AX50)</f>
        <v>556920.40479490603</v>
      </c>
      <c r="AU5" s="54"/>
      <c r="AW5" s="50">
        <v>2.5000000000000001E-2</v>
      </c>
      <c r="AX5" s="50">
        <v>0.03</v>
      </c>
      <c r="BK5" s="52">
        <v>3</v>
      </c>
      <c r="BL5" s="45" t="s">
        <v>18</v>
      </c>
      <c r="BM5" s="54">
        <f ca="1">SUM(BQ15:BQ50)</f>
        <v>268967.59496450535</v>
      </c>
      <c r="BN5" s="54"/>
      <c r="BP5" s="50">
        <v>2.5000000000000001E-2</v>
      </c>
      <c r="BQ5" s="50">
        <v>0.03</v>
      </c>
      <c r="CD5" s="52">
        <v>3</v>
      </c>
      <c r="CE5" s="45" t="s">
        <v>18</v>
      </c>
      <c r="CF5" s="54">
        <f ca="1">SUM(CJ15:CJ50)</f>
        <v>128560.37123207185</v>
      </c>
      <c r="CG5" s="54"/>
      <c r="CI5" s="50">
        <v>2.5000000000000001E-2</v>
      </c>
      <c r="CJ5" s="50">
        <v>0.03</v>
      </c>
      <c r="CT5"/>
      <c r="CU5"/>
      <c r="CV5"/>
      <c r="CW5"/>
      <c r="CX5"/>
      <c r="CY5"/>
      <c r="CZ5"/>
      <c r="DA5"/>
      <c r="DB5"/>
      <c r="DC5"/>
      <c r="DD5"/>
      <c r="DE5"/>
      <c r="DF5"/>
      <c r="DG5"/>
      <c r="DH5"/>
      <c r="DI5"/>
      <c r="DJ5"/>
      <c r="DK5"/>
      <c r="DL5"/>
    </row>
    <row r="6" spans="1:116" ht="15.75" customHeight="1">
      <c r="A6" s="45" t="s">
        <v>34</v>
      </c>
      <c r="B6" s="61"/>
      <c r="F6" s="52">
        <v>4</v>
      </c>
      <c r="G6" s="45" t="s">
        <v>19</v>
      </c>
      <c r="H6" s="54">
        <f ca="1">SUM(L15:L62)</f>
        <v>1761000.2878688518</v>
      </c>
      <c r="I6" s="54"/>
      <c r="K6" s="50">
        <v>0.03</v>
      </c>
      <c r="L6" s="50">
        <v>3.5000000000000003E-2</v>
      </c>
      <c r="M6" s="55"/>
      <c r="N6" s="52"/>
      <c r="Q6" s="62"/>
      <c r="Y6" s="52">
        <v>4</v>
      </c>
      <c r="Z6" s="45" t="s">
        <v>19</v>
      </c>
      <c r="AA6" s="54">
        <f ca="1">SUM(AE15:AE62)</f>
        <v>1164047.9345051805</v>
      </c>
      <c r="AB6" s="54"/>
      <c r="AD6" s="50">
        <v>0.03</v>
      </c>
      <c r="AE6" s="50">
        <v>3.5000000000000003E-2</v>
      </c>
      <c r="AR6" s="52">
        <v>4</v>
      </c>
      <c r="AS6" s="45" t="s">
        <v>19</v>
      </c>
      <c r="AT6" s="54">
        <f ca="1">SUM(AX15:AX62)</f>
        <v>698296.94911713596</v>
      </c>
      <c r="AU6" s="54"/>
      <c r="AW6" s="50">
        <v>0.03</v>
      </c>
      <c r="AX6" s="50">
        <v>3.5000000000000003E-2</v>
      </c>
      <c r="BK6" s="52">
        <v>4</v>
      </c>
      <c r="BL6" s="45" t="s">
        <v>19</v>
      </c>
      <c r="BM6" s="54">
        <f ca="1">SUM(BQ15:BQ62)</f>
        <v>365757.12007333414</v>
      </c>
      <c r="BN6" s="54"/>
      <c r="BP6" s="50">
        <v>0.03</v>
      </c>
      <c r="BQ6" s="50">
        <v>3.5000000000000003E-2</v>
      </c>
      <c r="CD6" s="52">
        <v>4</v>
      </c>
      <c r="CE6" s="45" t="s">
        <v>19</v>
      </c>
      <c r="CF6" s="54">
        <f ca="1">SUM(CJ15:CJ62)</f>
        <v>198282.82157554108</v>
      </c>
      <c r="CG6" s="54"/>
      <c r="CI6" s="50">
        <v>0.03</v>
      </c>
      <c r="CJ6" s="50">
        <v>3.5000000000000003E-2</v>
      </c>
      <c r="CT6"/>
      <c r="CU6"/>
      <c r="CV6"/>
      <c r="CW6"/>
      <c r="CX6"/>
      <c r="CY6"/>
      <c r="CZ6"/>
      <c r="DA6"/>
      <c r="DB6"/>
      <c r="DC6"/>
      <c r="DD6"/>
      <c r="DE6"/>
      <c r="DF6"/>
      <c r="DG6"/>
      <c r="DH6"/>
      <c r="DI6"/>
      <c r="DJ6"/>
      <c r="DK6"/>
      <c r="DL6"/>
    </row>
    <row r="7" spans="1:116" ht="15.75" customHeight="1">
      <c r="F7" s="52">
        <v>5</v>
      </c>
      <c r="G7" s="45" t="s">
        <v>20</v>
      </c>
      <c r="H7" s="54">
        <f ca="1">SUM(L15:L74)</f>
        <v>2093462.05756228</v>
      </c>
      <c r="I7" s="54"/>
      <c r="K7" s="50">
        <v>3.5000000000000003E-2</v>
      </c>
      <c r="L7" s="50">
        <v>0.04</v>
      </c>
      <c r="M7" s="55"/>
      <c r="N7" s="52"/>
      <c r="Q7" s="52"/>
      <c r="R7" s="63"/>
      <c r="Y7" s="52">
        <v>5</v>
      </c>
      <c r="Z7" s="45" t="s">
        <v>20</v>
      </c>
      <c r="AA7" s="54">
        <f ca="1">SUM(AE15:AE74)</f>
        <v>1380317.7200038268</v>
      </c>
      <c r="AB7" s="54"/>
      <c r="AD7" s="50">
        <v>3.5000000000000003E-2</v>
      </c>
      <c r="AE7" s="50">
        <v>0.04</v>
      </c>
      <c r="AR7" s="52">
        <v>5</v>
      </c>
      <c r="AS7" s="45" t="s">
        <v>20</v>
      </c>
      <c r="AT7" s="54">
        <f ca="1">SUM(AX15:AX74)</f>
        <v>839400.79441031418</v>
      </c>
      <c r="AU7" s="54"/>
      <c r="AW7" s="50">
        <v>3.5000000000000003E-2</v>
      </c>
      <c r="AX7" s="50">
        <v>0.04</v>
      </c>
      <c r="BK7" s="52">
        <v>5</v>
      </c>
      <c r="BL7" s="45" t="s">
        <v>20</v>
      </c>
      <c r="BM7" s="54">
        <f ca="1">SUM(BQ15:BQ74)</f>
        <v>462157.4379873146</v>
      </c>
      <c r="BN7" s="54"/>
      <c r="BP7" s="50">
        <v>3.5000000000000003E-2</v>
      </c>
      <c r="BQ7" s="50">
        <v>0.04</v>
      </c>
      <c r="CD7" s="52">
        <v>5</v>
      </c>
      <c r="CE7" s="45" t="s">
        <v>20</v>
      </c>
      <c r="CF7" s="54">
        <f ca="1">SUM(CJ15:CJ74)</f>
        <v>267991.06881339912</v>
      </c>
      <c r="CG7" s="54"/>
      <c r="CI7" s="50">
        <v>3.5000000000000003E-2</v>
      </c>
      <c r="CJ7" s="50">
        <v>0.04</v>
      </c>
      <c r="CT7"/>
      <c r="CU7"/>
      <c r="CV7"/>
      <c r="CW7"/>
      <c r="CX7"/>
      <c r="CY7"/>
      <c r="CZ7"/>
      <c r="DA7"/>
      <c r="DB7"/>
      <c r="DC7"/>
      <c r="DD7"/>
      <c r="DE7"/>
      <c r="DF7"/>
      <c r="DG7"/>
      <c r="DH7"/>
      <c r="DI7"/>
      <c r="DJ7"/>
      <c r="DK7"/>
      <c r="DL7"/>
    </row>
    <row r="8" spans="1:116" ht="15.75" customHeight="1">
      <c r="A8" s="45" t="s">
        <v>1</v>
      </c>
      <c r="B8" s="61">
        <f>'Cap Pricer'!E23</f>
        <v>0.02</v>
      </c>
      <c r="F8" s="52">
        <v>6</v>
      </c>
      <c r="G8" s="45" t="s">
        <v>39</v>
      </c>
      <c r="H8" s="54">
        <f ca="1">SUM(L15:L86)</f>
        <v>2441440.2534082998</v>
      </c>
      <c r="I8" s="54"/>
      <c r="K8" s="50">
        <v>0.04</v>
      </c>
      <c r="L8" s="50">
        <v>4.4999999999999998E-2</v>
      </c>
      <c r="M8" s="55"/>
      <c r="N8" s="52"/>
      <c r="Q8" s="52"/>
      <c r="R8" s="64"/>
      <c r="Y8" s="52">
        <v>6</v>
      </c>
      <c r="Z8" s="45" t="s">
        <v>39</v>
      </c>
      <c r="AA8" s="54">
        <f ca="1">SUM(AE15:AE86)</f>
        <v>1609851.136725944</v>
      </c>
      <c r="AB8" s="54"/>
      <c r="AD8" s="50">
        <v>0.04</v>
      </c>
      <c r="AE8" s="50">
        <v>4.4999999999999998E-2</v>
      </c>
      <c r="AR8" s="52">
        <v>6</v>
      </c>
      <c r="AS8" s="45" t="s">
        <v>39</v>
      </c>
      <c r="AT8" s="54">
        <f ca="1">SUM(AX15:AX86)</f>
        <v>990320.69564685016</v>
      </c>
      <c r="AU8" s="54"/>
      <c r="AW8" s="50">
        <v>0.04</v>
      </c>
      <c r="AX8" s="50">
        <v>4.4999999999999998E-2</v>
      </c>
      <c r="BK8" s="52">
        <v>6</v>
      </c>
      <c r="BL8" s="45" t="s">
        <v>39</v>
      </c>
      <c r="BM8" s="54">
        <f ca="1">SUM(BQ15:BQ86)</f>
        <v>566106.89290537999</v>
      </c>
      <c r="BN8" s="54"/>
      <c r="BP8" s="50">
        <v>0.04</v>
      </c>
      <c r="BQ8" s="50">
        <v>4.4999999999999998E-2</v>
      </c>
      <c r="CD8" s="52">
        <v>6</v>
      </c>
      <c r="CE8" s="45" t="s">
        <v>39</v>
      </c>
      <c r="CF8" s="54">
        <f ca="1">SUM(CJ15:CJ86)</f>
        <v>344089.20302360441</v>
      </c>
      <c r="CG8" s="54"/>
      <c r="CI8" s="50">
        <v>0.04</v>
      </c>
      <c r="CJ8" s="50">
        <v>4.4999999999999998E-2</v>
      </c>
      <c r="CT8"/>
      <c r="CU8"/>
      <c r="CV8"/>
      <c r="CW8"/>
      <c r="CX8"/>
      <c r="CY8"/>
      <c r="CZ8"/>
      <c r="DA8"/>
      <c r="DB8"/>
      <c r="DC8"/>
      <c r="DD8"/>
      <c r="DE8"/>
      <c r="DF8"/>
      <c r="DG8"/>
      <c r="DH8"/>
      <c r="DI8"/>
      <c r="DJ8"/>
      <c r="DK8"/>
      <c r="DL8"/>
    </row>
    <row r="9" spans="1:116" ht="15.75" customHeight="1">
      <c r="A9" s="45" t="s">
        <v>2</v>
      </c>
      <c r="B9" s="65" t="s">
        <v>3</v>
      </c>
      <c r="F9" s="52">
        <v>7</v>
      </c>
      <c r="G9" s="45" t="s">
        <v>40</v>
      </c>
      <c r="H9" s="54">
        <f ca="1">SUM(L15:L98)</f>
        <v>2788153.9207921494</v>
      </c>
      <c r="I9" s="54"/>
      <c r="K9" s="50">
        <v>4.4999999999999998E-2</v>
      </c>
      <c r="L9" s="50">
        <v>0.05</v>
      </c>
      <c r="N9" s="52"/>
      <c r="Q9" s="52"/>
      <c r="R9" s="66"/>
      <c r="Y9" s="52">
        <v>7</v>
      </c>
      <c r="Z9" s="45" t="s">
        <v>40</v>
      </c>
      <c r="AA9" s="54">
        <f ca="1">SUM(AE15:AE98)</f>
        <v>1840399.7279378427</v>
      </c>
      <c r="AB9" s="54"/>
      <c r="AD9" s="50">
        <v>4.4999999999999998E-2</v>
      </c>
      <c r="AE9" s="50">
        <v>0.05</v>
      </c>
      <c r="AH9" s="45" t="s">
        <v>22</v>
      </c>
      <c r="AI9" s="67"/>
      <c r="AJ9" s="67"/>
      <c r="AK9" s="54"/>
      <c r="AR9" s="52">
        <v>7</v>
      </c>
      <c r="AS9" s="45" t="s">
        <v>40</v>
      </c>
      <c r="AT9" s="54">
        <f ca="1">SUM(AX15:AX98)</f>
        <v>1143006.662330413</v>
      </c>
      <c r="AU9" s="54"/>
      <c r="AW9" s="50">
        <v>4.4999999999999998E-2</v>
      </c>
      <c r="AX9" s="50">
        <v>0.05</v>
      </c>
      <c r="BA9" s="45" t="s">
        <v>22</v>
      </c>
      <c r="BB9" s="67"/>
      <c r="BC9" s="67"/>
      <c r="BD9" s="54"/>
      <c r="BK9" s="52">
        <v>7</v>
      </c>
      <c r="BL9" s="45" t="s">
        <v>40</v>
      </c>
      <c r="BM9" s="54">
        <f ca="1">SUM(BQ15:BQ98)</f>
        <v>671761.72963456344</v>
      </c>
      <c r="BN9" s="54"/>
      <c r="BP9" s="50">
        <v>4.4999999999999998E-2</v>
      </c>
      <c r="BQ9" s="50">
        <v>0.05</v>
      </c>
      <c r="BT9" s="45" t="s">
        <v>22</v>
      </c>
      <c r="BU9" s="67"/>
      <c r="BV9" s="67"/>
      <c r="BW9" s="54"/>
      <c r="CD9" s="52">
        <v>7</v>
      </c>
      <c r="CE9" s="45" t="s">
        <v>40</v>
      </c>
      <c r="CF9" s="54">
        <f ca="1">SUM(CJ15:CJ98)</f>
        <v>421655.82394604129</v>
      </c>
      <c r="CG9" s="54"/>
      <c r="CI9" s="50">
        <v>4.4999999999999998E-2</v>
      </c>
      <c r="CJ9" s="50">
        <v>0.05</v>
      </c>
      <c r="CM9" s="45" t="s">
        <v>22</v>
      </c>
      <c r="CN9" s="67"/>
      <c r="CO9" s="67"/>
      <c r="CP9" s="54"/>
      <c r="CT9"/>
      <c r="CU9"/>
      <c r="CV9"/>
      <c r="CW9"/>
      <c r="CX9"/>
      <c r="CY9"/>
      <c r="CZ9"/>
      <c r="DA9"/>
      <c r="DB9"/>
      <c r="DC9"/>
      <c r="DD9"/>
      <c r="DE9"/>
      <c r="DF9"/>
      <c r="DG9"/>
      <c r="DH9"/>
      <c r="DI9"/>
      <c r="DJ9"/>
      <c r="DK9"/>
      <c r="DL9"/>
    </row>
    <row r="10" spans="1:116" ht="15.75" customHeight="1">
      <c r="A10" s="45" t="s">
        <v>4</v>
      </c>
      <c r="B10" s="61">
        <v>2.5000000000000001E-3</v>
      </c>
      <c r="K10" s="50">
        <v>0.05</v>
      </c>
      <c r="L10" s="50">
        <v>5.5E-2</v>
      </c>
      <c r="Q10" s="63"/>
      <c r="R10" s="52"/>
      <c r="AD10" s="50">
        <v>0.05</v>
      </c>
      <c r="AE10" s="50">
        <v>5.5E-2</v>
      </c>
      <c r="AW10" s="50">
        <v>0.05</v>
      </c>
      <c r="AX10" s="50">
        <v>5.5E-2</v>
      </c>
      <c r="BP10" s="50">
        <v>0.05</v>
      </c>
      <c r="BQ10" s="50">
        <v>5.5E-2</v>
      </c>
      <c r="CI10" s="50">
        <v>0.05</v>
      </c>
      <c r="CJ10" s="50">
        <v>5.5E-2</v>
      </c>
      <c r="CT10"/>
      <c r="CU10"/>
      <c r="CV10"/>
      <c r="CW10"/>
      <c r="CX10"/>
      <c r="CY10"/>
      <c r="CZ10"/>
      <c r="DA10"/>
      <c r="DB10"/>
      <c r="DC10"/>
      <c r="DD10"/>
      <c r="DE10"/>
      <c r="DF10"/>
      <c r="DG10"/>
      <c r="DH10"/>
      <c r="DI10"/>
      <c r="DJ10"/>
      <c r="DK10"/>
      <c r="DL10"/>
    </row>
    <row r="11" spans="1:116" ht="15.75" customHeight="1">
      <c r="B11" s="61"/>
      <c r="H11" s="54"/>
      <c r="I11" s="54"/>
      <c r="K11" s="50">
        <v>5.5E-2</v>
      </c>
      <c r="L11" s="50">
        <v>0.06</v>
      </c>
      <c r="N11" s="52"/>
      <c r="R11" s="52"/>
      <c r="T11" s="61"/>
      <c r="U11" s="61"/>
      <c r="AA11" s="54"/>
      <c r="AB11" s="54"/>
      <c r="AD11" s="50">
        <v>5.5E-2</v>
      </c>
      <c r="AE11" s="50">
        <v>0.06</v>
      </c>
      <c r="AM11" s="61"/>
      <c r="AT11" s="54"/>
      <c r="AU11" s="54"/>
      <c r="AW11" s="50">
        <v>5.5E-2</v>
      </c>
      <c r="AX11" s="50">
        <v>0.06</v>
      </c>
      <c r="BF11" s="61"/>
      <c r="BM11" s="54"/>
      <c r="BN11" s="54"/>
      <c r="BP11" s="50">
        <v>5.5E-2</v>
      </c>
      <c r="BQ11" s="50">
        <v>0.06</v>
      </c>
      <c r="BY11" s="61"/>
      <c r="CF11" s="54"/>
      <c r="CG11" s="54"/>
      <c r="CI11" s="50">
        <v>5.5E-2</v>
      </c>
      <c r="CJ11" s="50">
        <v>0.06</v>
      </c>
      <c r="CR11" s="61"/>
      <c r="CT11"/>
      <c r="CU11"/>
      <c r="CV11"/>
      <c r="CW11"/>
      <c r="CX11"/>
      <c r="CY11"/>
      <c r="CZ11"/>
      <c r="DA11"/>
      <c r="DB11"/>
      <c r="DC11"/>
      <c r="DD11"/>
      <c r="DE11"/>
      <c r="DF11"/>
      <c r="DG11"/>
      <c r="DH11"/>
      <c r="DI11"/>
      <c r="DJ11"/>
      <c r="DK11"/>
      <c r="DL11"/>
    </row>
    <row r="12" spans="1:116" ht="15.75" customHeight="1">
      <c r="R12" s="52"/>
      <c r="CT12"/>
      <c r="CU12"/>
      <c r="CV12"/>
      <c r="CW12"/>
      <c r="CX12"/>
      <c r="CY12"/>
      <c r="CZ12"/>
      <c r="DA12"/>
      <c r="DB12"/>
      <c r="DC12"/>
      <c r="DD12"/>
      <c r="DE12"/>
      <c r="DF12"/>
      <c r="DG12"/>
      <c r="DH12"/>
      <c r="DI12"/>
      <c r="DJ12"/>
      <c r="DK12"/>
      <c r="DL12"/>
    </row>
    <row r="13" spans="1:116" ht="15.75" customHeight="1">
      <c r="C13" s="45" t="s">
        <v>56</v>
      </c>
      <c r="L13" s="52"/>
      <c r="V13" s="61">
        <f>'Cap Pricer'!G19</f>
        <v>0.03</v>
      </c>
      <c r="AO13" s="61">
        <f>'Cap Pricer'!G20</f>
        <v>0.04</v>
      </c>
      <c r="BH13" s="61">
        <f>'Cap Pricer'!G21</f>
        <v>0.05</v>
      </c>
      <c r="CA13" s="61">
        <f>'Cap Pricer'!G22</f>
        <v>0.06</v>
      </c>
      <c r="CT13"/>
      <c r="CU13"/>
      <c r="CV13"/>
      <c r="CW13"/>
      <c r="CX13"/>
      <c r="CY13"/>
      <c r="CZ13"/>
      <c r="DA13"/>
      <c r="DB13"/>
      <c r="DC13"/>
      <c r="DD13"/>
      <c r="DE13"/>
      <c r="DF13"/>
      <c r="DG13"/>
      <c r="DH13"/>
      <c r="DI13"/>
      <c r="DJ13"/>
      <c r="DK13"/>
      <c r="DL13"/>
    </row>
    <row r="14" spans="1:116" ht="15.75" customHeight="1">
      <c r="C14" s="68" t="s">
        <v>5</v>
      </c>
      <c r="D14" s="68" t="s">
        <v>6</v>
      </c>
      <c r="E14" s="68" t="s">
        <v>7</v>
      </c>
      <c r="F14" s="68" t="s">
        <v>8</v>
      </c>
      <c r="G14" s="68" t="s">
        <v>13</v>
      </c>
      <c r="H14" s="68" t="s">
        <v>9</v>
      </c>
      <c r="I14" s="68" t="s">
        <v>47</v>
      </c>
      <c r="J14" s="68" t="s">
        <v>10</v>
      </c>
      <c r="K14" s="68" t="s">
        <v>11</v>
      </c>
      <c r="L14" s="68" t="s">
        <v>12</v>
      </c>
      <c r="M14" s="69" t="s">
        <v>14</v>
      </c>
      <c r="N14" s="68" t="s">
        <v>25</v>
      </c>
      <c r="O14" s="68" t="s">
        <v>36</v>
      </c>
      <c r="Q14" s="68" t="s">
        <v>26</v>
      </c>
      <c r="R14" s="68" t="s">
        <v>27</v>
      </c>
      <c r="T14" s="68" t="s">
        <v>42</v>
      </c>
      <c r="V14" s="68" t="s">
        <v>5</v>
      </c>
      <c r="W14" s="68" t="s">
        <v>6</v>
      </c>
      <c r="X14" s="68" t="s">
        <v>7</v>
      </c>
      <c r="Y14" s="68" t="s">
        <v>8</v>
      </c>
      <c r="Z14" s="68" t="s">
        <v>13</v>
      </c>
      <c r="AA14" s="68" t="s">
        <v>9</v>
      </c>
      <c r="AB14" s="68" t="s">
        <v>47</v>
      </c>
      <c r="AC14" s="68" t="s">
        <v>10</v>
      </c>
      <c r="AD14" s="68" t="s">
        <v>11</v>
      </c>
      <c r="AE14" s="68" t="s">
        <v>12</v>
      </c>
      <c r="AF14" s="69" t="s">
        <v>14</v>
      </c>
      <c r="AG14" s="68" t="s">
        <v>25</v>
      </c>
      <c r="AH14" s="68" t="s">
        <v>36</v>
      </c>
      <c r="AJ14" s="68" t="s">
        <v>26</v>
      </c>
      <c r="AK14" s="68" t="s">
        <v>27</v>
      </c>
      <c r="AM14" s="68" t="s">
        <v>42</v>
      </c>
      <c r="AO14" s="68" t="s">
        <v>5</v>
      </c>
      <c r="AP14" s="68" t="s">
        <v>6</v>
      </c>
      <c r="AQ14" s="68" t="s">
        <v>7</v>
      </c>
      <c r="AR14" s="68" t="s">
        <v>8</v>
      </c>
      <c r="AS14" s="68" t="s">
        <v>13</v>
      </c>
      <c r="AT14" s="68" t="s">
        <v>9</v>
      </c>
      <c r="AU14" s="68" t="s">
        <v>47</v>
      </c>
      <c r="AV14" s="68" t="s">
        <v>10</v>
      </c>
      <c r="AW14" s="68" t="s">
        <v>11</v>
      </c>
      <c r="AX14" s="68" t="s">
        <v>12</v>
      </c>
      <c r="AY14" s="69" t="s">
        <v>14</v>
      </c>
      <c r="AZ14" s="68" t="s">
        <v>25</v>
      </c>
      <c r="BA14" s="68" t="s">
        <v>36</v>
      </c>
      <c r="BC14" s="68" t="s">
        <v>26</v>
      </c>
      <c r="BD14" s="68" t="s">
        <v>27</v>
      </c>
      <c r="BF14" s="68" t="s">
        <v>42</v>
      </c>
      <c r="BH14" s="68" t="s">
        <v>5</v>
      </c>
      <c r="BI14" s="68" t="s">
        <v>6</v>
      </c>
      <c r="BJ14" s="68" t="s">
        <v>7</v>
      </c>
      <c r="BK14" s="68" t="s">
        <v>8</v>
      </c>
      <c r="BL14" s="68" t="s">
        <v>13</v>
      </c>
      <c r="BM14" s="68" t="s">
        <v>9</v>
      </c>
      <c r="BN14" s="68" t="s">
        <v>47</v>
      </c>
      <c r="BO14" s="68" t="s">
        <v>10</v>
      </c>
      <c r="BP14" s="68" t="s">
        <v>11</v>
      </c>
      <c r="BQ14" s="68" t="s">
        <v>12</v>
      </c>
      <c r="BR14" s="69" t="s">
        <v>14</v>
      </c>
      <c r="BS14" s="68" t="s">
        <v>25</v>
      </c>
      <c r="BT14" s="68" t="s">
        <v>36</v>
      </c>
      <c r="BV14" s="68" t="s">
        <v>26</v>
      </c>
      <c r="BW14" s="68" t="s">
        <v>27</v>
      </c>
      <c r="BY14" s="68" t="s">
        <v>42</v>
      </c>
      <c r="CA14" s="68" t="s">
        <v>5</v>
      </c>
      <c r="CB14" s="68" t="s">
        <v>6</v>
      </c>
      <c r="CC14" s="68" t="s">
        <v>7</v>
      </c>
      <c r="CD14" s="68" t="s">
        <v>8</v>
      </c>
      <c r="CE14" s="68" t="s">
        <v>13</v>
      </c>
      <c r="CF14" s="68" t="s">
        <v>9</v>
      </c>
      <c r="CG14" s="68" t="s">
        <v>47</v>
      </c>
      <c r="CH14" s="68" t="s">
        <v>10</v>
      </c>
      <c r="CI14" s="68" t="s">
        <v>11</v>
      </c>
      <c r="CJ14" s="68" t="s">
        <v>12</v>
      </c>
      <c r="CK14" s="69" t="s">
        <v>14</v>
      </c>
      <c r="CL14" s="68" t="s">
        <v>25</v>
      </c>
      <c r="CM14" s="68" t="s">
        <v>36</v>
      </c>
      <c r="CO14" s="68" t="s">
        <v>26</v>
      </c>
      <c r="CP14" s="68" t="s">
        <v>27</v>
      </c>
      <c r="CR14" s="68" t="s">
        <v>42</v>
      </c>
      <c r="CT14"/>
      <c r="CU14"/>
      <c r="CV14"/>
      <c r="CW14"/>
      <c r="CX14"/>
      <c r="CY14"/>
      <c r="CZ14"/>
      <c r="DA14"/>
      <c r="DB14"/>
      <c r="DC14"/>
      <c r="DD14"/>
      <c r="DE14"/>
      <c r="DF14"/>
      <c r="DG14"/>
      <c r="DH14"/>
      <c r="DI14"/>
      <c r="DJ14"/>
      <c r="DK14"/>
      <c r="DL14"/>
    </row>
    <row r="15" spans="1:116" ht="15.75" customHeight="1">
      <c r="B15" s="52">
        <v>1</v>
      </c>
      <c r="C15" s="52">
        <v>1</v>
      </c>
      <c r="D15" s="70">
        <f ca="1">DATE(YEAR(TODAY()),MONTH(TODAY()),MIN(28,DAY(TODAY())))</f>
        <v>45008</v>
      </c>
      <c r="E15" s="71">
        <f t="shared" ref="E15:E50" ca="1" si="0">EDATE(D15,1)</f>
        <v>45039</v>
      </c>
      <c r="F15" s="72">
        <f t="shared" ref="F15:F50" ca="1" si="1">E15-D15</f>
        <v>31</v>
      </c>
      <c r="G15" s="73">
        <f ca="1">SUM($F$15:F15)/360</f>
        <v>8.611111111111111E-2</v>
      </c>
      <c r="H15" s="74">
        <f t="shared" ref="H15:H78" si="2">$B$2</f>
        <v>25000000</v>
      </c>
      <c r="I15" s="59">
        <f>IF('Cap Pricer'!$E$22=DataValidation!$C$2,'Cap Pricer'!$E$23,IF('Cap Pricer'!$E$22=DataValidation!$C$3,VLOOKUP($B15,'Cap Pricer'!$C$25:$E$31,3),""))</f>
        <v>0.02</v>
      </c>
      <c r="J15" s="57">
        <f>Volatilities_Resets!$E4*0.01</f>
        <v>4.7923600000000004E-2</v>
      </c>
      <c r="K15" s="61">
        <f>IF(I15=L$11,Volatilities_Resets!$AA4,IF(I15&gt;=K$11,IF(I15&lt;L$11,(((Volatilities_Resets!$AA4-Volatilities_Resets!$Y4)/50)*((Calculator!I15-Calculator!K$11)*10000)+Volatilities_Resets!$Y4)),IF(I15&gt;=K$10,IF(I15&lt;L$10,(((Volatilities_Resets!$Y4-Volatilities_Resets!$W4)/50)*((Calculator!I15-Calculator!K$10)*10000)+Volatilities_Resets!$W4)),IF(I15&gt;=K$9,IF(I15&lt;L$9,(((Volatilities_Resets!$W4-Volatilities_Resets!$U4)/50)*((Calculator!I15-Calculator!K$9)*10000)+Volatilities_Resets!$U4)),IF(I15&gt;=K$8,IF(I15&lt;L$8,(((Volatilities_Resets!$U4-Volatilities_Resets!$S4)/50)*((Calculator!I15-Calculator!K$8)*10000)+Volatilities_Resets!$S4)),IF(I15&gt;=K$7,IF(I15&lt;L$7,(((Volatilities_Resets!$S4-Volatilities_Resets!$Q4)/50)*((Calculator!I15-Calculator!K$7)*10000)+Volatilities_Resets!$Q4)),IF(I15&gt;=K$6,IF(I15&lt;L$6,(((Volatilities_Resets!$Q4-Volatilities_Resets!$O4)/50)*((Calculator!I15-Calculator!K$6)*10000)+Volatilities_Resets!$O4)),IF(I15&gt;=K$5,IF(I15&lt;L$5,(((Volatilities_Resets!$O4-Volatilities_Resets!$M4)/50)*((Calculator!I15-Calculator!K$5)*10000)+Volatilities_Resets!$M4)),IF(I15&gt;=K$4,IF(I15&lt;L$4,(((Volatilities_Resets!$M4-Volatilities_Resets!$K4)/50)*((Calculator!I15-Calculator!K$4)*10000)+Volatilities_Resets!$K4)),IF(I15&gt;=K$3,IF(I15&lt;L$3,(((Volatilities_Resets!$K4-Volatilities_Resets!$I4)/50)*((Calculator!I15-Calculator!K$3)*10000)+Volatilities_Resets!$I4)),IF(I15&gt;=K$2,IF(I15&lt;L$2,(((Volatilities_Resets!$I4-Volatilities_Resets!$G4)/50)*((Calculator!I15-Calculator!K$2)*10000)+Volatilities_Resets!$G4)),"Well, something broke...")))))))))))/10000</f>
        <v>2.9024000000000001E-2</v>
      </c>
      <c r="L15" s="47">
        <f ca="1">(((J15-I15)*(NORMDIST((J15-I15)/(K15*SQRT(G15)),0,1,TRUE)))+((K15*SQRT(G15))*(NORMDIST((J15-I15)/(K15*SQRT(G15)),0,1,FALSE))))*T15*(F15/360)*H15</f>
        <v>59868.264324765565</v>
      </c>
      <c r="M15" s="63">
        <f ca="1">(((J15-I15)*(NORMDIST((J15-I15)/((K15+0.0001)*SQRT(G15)),0,1,TRUE)))+((K15+0.0001)*SQRT(G15))*(NORMDIST((J15-I15)/((K15+0.0001)*SQRT(G15)),0,1,FALSE)))*T15*(F15/360)</f>
        <v>2.394735311310668E-3</v>
      </c>
      <c r="N15" s="63">
        <f ca="1">L15</f>
        <v>59868.264324765565</v>
      </c>
      <c r="Q15" s="63">
        <f ca="1">((M15-(L15/H15))*H15)*T15</f>
        <v>0.11797016134107373</v>
      </c>
      <c r="R15" s="63">
        <f ca="1">SUM($Q$15:Q15)</f>
        <v>0.11797016134107373</v>
      </c>
      <c r="T15" s="52">
        <f ca="1">EXP(-AVERAGE(J$15:J15)*G15)</f>
        <v>0.99588174890557724</v>
      </c>
      <c r="U15" s="57"/>
      <c r="V15" s="52">
        <v>1</v>
      </c>
      <c r="W15" s="70">
        <f ca="1">D15</f>
        <v>45008</v>
      </c>
      <c r="X15" s="71">
        <f t="shared" ref="X15:X78" ca="1" si="3">EDATE(W15,1)</f>
        <v>45039</v>
      </c>
      <c r="Y15" s="72">
        <f t="shared" ref="Y15:Y78" ca="1" si="4">X15-W15</f>
        <v>31</v>
      </c>
      <c r="Z15" s="73">
        <f ca="1">SUM(Y$15:Y15)/360</f>
        <v>8.611111111111111E-2</v>
      </c>
      <c r="AA15" s="74">
        <f>$B$2</f>
        <v>25000000</v>
      </c>
      <c r="AB15" s="59">
        <f>V$13</f>
        <v>0.03</v>
      </c>
      <c r="AC15" s="57">
        <f>Volatilities_Resets!$E4*0.01</f>
        <v>4.7923600000000004E-2</v>
      </c>
      <c r="AD15" s="61">
        <f>IF(AB15=AE$11,Volatilities_Resets!$AA4,IF(AB15&gt;=AD$11,IF(AB15&lt;AE$11,(((Volatilities_Resets!$AA4-Volatilities_Resets!$Y4)/50)*((Calculator!AB15-Calculator!AD$11)*10000)+Volatilities_Resets!$Y4)),IF(AB15&gt;=AD$10,IF(AB15&lt;AE$10,(((Volatilities_Resets!$Y4-Volatilities_Resets!$W4)/50)*((Calculator!AB15-Calculator!AD$10)*10000)+Volatilities_Resets!$W4)),IF(AB15&gt;=AD$9,IF(AB15&lt;AE$9,(((Volatilities_Resets!$W4-Volatilities_Resets!$U4)/50)*((Calculator!AB15-Calculator!AD$9)*10000)+Volatilities_Resets!$U4)),IF(AB15&gt;=AD$8,IF(AB15&lt;AE$8,(((Volatilities_Resets!$U4-Volatilities_Resets!$S4)/50)*((Calculator!AB15-Calculator!AD$8)*10000)+Volatilities_Resets!$S4)),IF(AB15&gt;=AD$7,IF(AB15&lt;AE$7,(((Volatilities_Resets!$S4-Volatilities_Resets!$Q4)/50)*((Calculator!AB15-Calculator!AD$7)*10000)+Volatilities_Resets!$Q4)),IF(AB15&gt;=AD$6,IF(AB15&lt;AE$6,(((Volatilities_Resets!$Q4-Volatilities_Resets!$O4)/50)*((Calculator!AB15-Calculator!AD$6)*10000)+Volatilities_Resets!$O4)),IF(AB15&gt;=AD$5,IF(AB15&lt;AE$5,(((Volatilities_Resets!$O4-Volatilities_Resets!$M4)/50)*((Calculator!AB15-Calculator!AD$5)*10000)+Volatilities_Resets!$M4)),IF(AB15&gt;=AD$4,IF(AB15&lt;AE$4,(((Volatilities_Resets!$M4-Volatilities_Resets!$K4)/50)*((Calculator!AB15-Calculator!AD$4)*10000)+Volatilities_Resets!$K4)),IF(AB15&gt;=AD$3,IF(AB15&lt;AE$3,(((Volatilities_Resets!$K4-Volatilities_Resets!$I4)/50)*((Calculator!AB15-Calculator!AD$3)*10000)+Volatilities_Resets!$I4)),IF(AB15&gt;=AD$2,IF(AB15&lt;AE$2,(((Volatilities_Resets!$I4-Volatilities_Resets!$G4)/50)*((Calculator!AB15-Calculator!AD$2)*10000)+Volatilities_Resets!$G4)),"Well, something broke...")))))))))))/10000</f>
        <v>2.6946000000000005E-2</v>
      </c>
      <c r="AE15" s="47">
        <f ca="1">(((AC15-AB15)*(NORMDIST((AC15-AB15)/(AD15*SQRT(Z15)),0,1,TRUE)))+((AD15*SQRT(Z15))*(NORMDIST((AC15-AB15)/(AD15*SQRT(Z15)),0,1,FALSE))))*AM15*(Y15/360)*AA15</f>
        <v>38495.015003319459</v>
      </c>
      <c r="AF15" s="63">
        <f ca="1">(((AC15-AB15)*(NORMDIST((AC15-AB15)/((AD15+0.0001)*SQRT(Z15)),0,1,TRUE)))+((AD15+0.0001)*SQRT(Z15))*(NORMDIST((AC15-AB15)/((AD15+0.0001)*SQRT(Z15)),0,1,FALSE)))*AM15*(Y15/360)</f>
        <v>1.539878245195939E-3</v>
      </c>
      <c r="AG15" s="63">
        <f ca="1">AE15</f>
        <v>38495.015003319459</v>
      </c>
      <c r="AJ15" s="63">
        <f ca="1">((AF15-(AE15/AA15))*AA15)*AM15</f>
        <v>1.9331325323584454</v>
      </c>
      <c r="AK15" s="63">
        <f ca="1">SUM($AJ$15:AJ15)</f>
        <v>1.9331325323584454</v>
      </c>
      <c r="AM15" s="52">
        <f ca="1">EXP(-AVERAGE(AC$15:AC15)*Z15)</f>
        <v>0.99588174890557724</v>
      </c>
      <c r="AO15" s="52">
        <v>1</v>
      </c>
      <c r="AP15" s="70">
        <f ca="1">D15</f>
        <v>45008</v>
      </c>
      <c r="AQ15" s="71">
        <f t="shared" ref="AQ15:AQ78" ca="1" si="5">EDATE(AP15,1)</f>
        <v>45039</v>
      </c>
      <c r="AR15" s="72">
        <f t="shared" ref="AR15:AR78" ca="1" si="6">AQ15-AP15</f>
        <v>31</v>
      </c>
      <c r="AS15" s="73">
        <f ca="1">SUM(AR$15:AR15)/360</f>
        <v>8.611111111111111E-2</v>
      </c>
      <c r="AT15" s="74">
        <f t="shared" ref="AT15:AT78" si="7">$B$2</f>
        <v>25000000</v>
      </c>
      <c r="AU15" s="59">
        <f>AO$13</f>
        <v>0.04</v>
      </c>
      <c r="AV15" s="57">
        <f>Volatilities_Resets!$E4*0.01</f>
        <v>4.7923600000000004E-2</v>
      </c>
      <c r="AW15" s="61">
        <f>IF(AU15=AX$11,Volatilities_Resets!$AA4,IF(AU15&gt;=AW$11,IF(AU15&lt;AX$11,(((Volatilities_Resets!$AA4-Volatilities_Resets!$Y4)/50)*((Calculator!AU15-Calculator!AW$11)*10000)+Volatilities_Resets!$Y4)),IF(AU15&gt;=AW$10,IF(AU15&lt;AX$10,(((Volatilities_Resets!$Y4-Volatilities_Resets!$W4)/50)*((Calculator!AU15-Calculator!AW$10)*10000)+Volatilities_Resets!$W4)),IF(AU15&gt;=AW$9,IF(AU15&lt;AX$9,(((Volatilities_Resets!$W4-Volatilities_Resets!$U4)/50)*((Calculator!AU15-Calculator!AW$9)*10000)+Volatilities_Resets!$U4)),IF(AU15&gt;=AW$8,IF(AU15&lt;AX$8,(((Volatilities_Resets!$U4-Volatilities_Resets!$S4)/50)*((Calculator!AU15-Calculator!AW$8)*10000)+Volatilities_Resets!$S4)),IF(AU15&gt;=AW$7,IF(AU15&lt;AX$7,(((Volatilities_Resets!$S4-Volatilities_Resets!$Q4)/50)*((Calculator!AU15-Calculator!AW$7)*10000)+Volatilities_Resets!$Q4)),IF(AU15&gt;=AW$6,IF(AU15&lt;AX$6,(((Volatilities_Resets!$Q4-Volatilities_Resets!$O4)/50)*((Calculator!AU15-Calculator!AW$6)*10000)+Volatilities_Resets!$O4)),IF(AU15&gt;=AW$5,IF(AU15&lt;AX$5,(((Volatilities_Resets!$O4-Volatilities_Resets!$M4)/50)*((Calculator!AU15-Calculator!AW$5)*10000)+Volatilities_Resets!$M4)),IF(AU15&gt;=AW$4,IF(AU15&lt;AX$4,(((Volatilities_Resets!$M4-Volatilities_Resets!$K4)/50)*((Calculator!AU15-Calculator!AW$4)*10000)+Volatilities_Resets!$K4)),IF(AU15&gt;=AW$3,IF(AU15&lt;AX$3,(((Volatilities_Resets!$K4-Volatilities_Resets!$I4)/50)*((Calculator!AU15-Calculator!AW$3)*10000)+Volatilities_Resets!$I4)),IF(AU15&gt;=AW$2,IF(AU15&lt;AX$2,(((Volatilities_Resets!$I4-Volatilities_Resets!$G4)/50)*((Calculator!AU15-Calculator!AW$2)*10000)+Volatilities_Resets!$G4)),"Well, something broke...")))))))))))/10000</f>
        <v>2.3855999999999999E-2</v>
      </c>
      <c r="AX15" s="47">
        <f ca="1">(((AV15-AU15)*(NORMDIST((AV15-AU15)/(AW15*SQRT(AS15)),0,1,TRUE)))+((AW15*SQRT(AS15))*(NORMDIST((AV15-AU15)/(AW15*SQRT(AS15)),0,1,FALSE))))*BF15*(AR15/360)*AT15</f>
        <v>17954.126322388405</v>
      </c>
      <c r="AY15" s="63">
        <f ca="1">(((AV15-AU15)*(NORMDIST((AV15-AU15)/((AW15+0.0001)*SQRT(AS15)),0,1,TRUE)))+((AW15+0.0001)*SQRT(AS15))*(NORMDIST((AV15-AU15)/((AW15+0.0001)*SQRT(AS15)),0,1,FALSE)))*BF15*(AR15/360)</f>
        <v>7.1869554167465033E-4</v>
      </c>
      <c r="AZ15" s="63">
        <f ca="1">AX15</f>
        <v>17954.126322388405</v>
      </c>
      <c r="BC15" s="63">
        <f t="shared" ref="BC15:BC78" ca="1" si="8">((AY15-(AX15/AT15))*AT15)*BF15</f>
        <v>13.207602327972765</v>
      </c>
      <c r="BD15" s="63">
        <f ca="1">SUM($BC$15:BC15)</f>
        <v>13.207602327972765</v>
      </c>
      <c r="BF15" s="52">
        <f ca="1">EXP(-AVERAGE(AV$15:AV15)*AS15)</f>
        <v>0.99588174890557724</v>
      </c>
      <c r="BH15" s="52">
        <v>1</v>
      </c>
      <c r="BI15" s="70">
        <f ca="1">D15</f>
        <v>45008</v>
      </c>
      <c r="BJ15" s="71">
        <f t="shared" ref="BJ15:BJ78" ca="1" si="9">EDATE(BI15,1)</f>
        <v>45039</v>
      </c>
      <c r="BK15" s="72">
        <f t="shared" ref="BK15:BK78" ca="1" si="10">BJ15-BI15</f>
        <v>31</v>
      </c>
      <c r="BL15" s="73">
        <f ca="1">SUM(BK$15:BK15)/360</f>
        <v>8.611111111111111E-2</v>
      </c>
      <c r="BM15" s="74">
        <f t="shared" ref="BM15:BM78" si="11">$B$2</f>
        <v>25000000</v>
      </c>
      <c r="BN15" s="59">
        <f>BH$13</f>
        <v>0.05</v>
      </c>
      <c r="BO15" s="57">
        <f>Volatilities_Resets!$E4*0.01</f>
        <v>4.7923600000000004E-2</v>
      </c>
      <c r="BP15" s="61">
        <f>IF(BN15=BQ$11,Volatilities_Resets!$AA4,IF(BN15&gt;=BP$11,IF(BN15&lt;BQ$11,(((Volatilities_Resets!$AA4-Volatilities_Resets!$Y4)/50)*((Calculator!BN15-Calculator!BP$11)*10000)+Volatilities_Resets!$Y4)),IF(BN15&gt;=BP$10,IF(BN15&lt;BQ$10,(((Volatilities_Resets!$Y4-Volatilities_Resets!$W4)/50)*((Calculator!BN15-Calculator!BP$10)*10000)+Volatilities_Resets!$W4)),IF(BN15&gt;=BP$9,IF(BN15&lt;BQ$9,(((Volatilities_Resets!$W4-Volatilities_Resets!$U4)/50)*((Calculator!BN15-Calculator!BP$9)*10000)+Volatilities_Resets!$U4)),IF(BN15&gt;=BP$8,IF(BN15&lt;BQ$8,(((Volatilities_Resets!$U4-Volatilities_Resets!$S4)/50)*((Calculator!BN15-Calculator!BP$8)*10000)+Volatilities_Resets!$S4)),IF(BN15&gt;=BP$7,IF(BN15&lt;BQ$7,(((Volatilities_Resets!$S4-Volatilities_Resets!$Q4)/50)*((Calculator!BN15-Calculator!BP$7)*10000)+Volatilities_Resets!$Q4)),IF(BN15&gt;=BP$6,IF(BN15&lt;BQ$6,(((Volatilities_Resets!$Q4-Volatilities_Resets!$O4)/50)*((Calculator!BN15-Calculator!BP$6)*10000)+Volatilities_Resets!$O4)),IF(BN15&gt;=BP$5,IF(BN15&lt;BQ$5,(((Volatilities_Resets!$O4-Volatilities_Resets!$M4)/50)*((Calculator!BN15-Calculator!BP$5)*10000)+Volatilities_Resets!$M4)),IF(BN15&gt;=BP$4,IF(BN15&lt;BQ$4,(((Volatilities_Resets!$M4-Volatilities_Resets!$K4)/50)*((Calculator!BN15-Calculator!BP$4)*10000)+Volatilities_Resets!$K4)),IF(BN15&gt;=BP$3,IF(BN15&lt;BQ$3,(((Volatilities_Resets!$K4-Volatilities_Resets!$I4)/50)*((Calculator!BN15-Calculator!BP$3)*10000)+Volatilities_Resets!$I4)),IF(BN15&gt;=BP$2,IF(BN15&lt;BQ$2,(((Volatilities_Resets!$I4-Volatilities_Resets!$G4)/50)*((Calculator!BN15-Calculator!BP$2)*10000)+Volatilities_Resets!$G4)),"Well, something broke...")))))))))))/10000</f>
        <v>2.0635000000000001E-2</v>
      </c>
      <c r="BQ15" s="47">
        <f ca="1">(((BO15-BN15)*(NORMDIST((BO15-BN15)/(BP15*SQRT(BL15)),0,1,TRUE)))+((BP15*SQRT(BL15))*(NORMDIST((BO15-BN15)/(BP15*SQRT(BL15)),0,1,FALSE))))*BY15*(BK15/360)*BM15</f>
        <v>3254.7949248414247</v>
      </c>
      <c r="BR15" s="63">
        <f ca="1">(((BO15-BN15)*(NORMDIST((BO15-BN15)/((BP15+0.0001)*SQRT(BL15)),0,1,TRUE)))+((BP15+0.0001)*SQRT(BL15))*(NORMDIST((BO15-BN15)/((BP15+0.0001)*SQRT(BL15)),0,1,FALSE)))*BY15*(BK15/360)</f>
        <v>1.3113868017225743E-4</v>
      </c>
      <c r="BS15" s="63">
        <f ca="1">BQ15</f>
        <v>3254.7949248414247</v>
      </c>
      <c r="BV15" s="63">
        <f ca="1">((BR15-(BQ15/BM15))*BM15)*BY15</f>
        <v>23.57459189784705</v>
      </c>
      <c r="BW15" s="63">
        <f ca="1">SUM($BV$15:BV15)</f>
        <v>23.57459189784705</v>
      </c>
      <c r="BY15" s="52">
        <f ca="1">EXP(-AVERAGE(BO$15:BO15)*BL15)</f>
        <v>0.99588174890557724</v>
      </c>
      <c r="CA15" s="52">
        <v>1</v>
      </c>
      <c r="CB15" s="70">
        <f ca="1">D15</f>
        <v>45008</v>
      </c>
      <c r="CC15" s="71">
        <f t="shared" ref="CC15:CC78" ca="1" si="12">EDATE(CB15,1)</f>
        <v>45039</v>
      </c>
      <c r="CD15" s="72">
        <f t="shared" ref="CD15:CD78" ca="1" si="13">CC15-CB15</f>
        <v>31</v>
      </c>
      <c r="CE15" s="73">
        <f ca="1">SUM(CD$15:CD15)/360</f>
        <v>8.611111111111111E-2</v>
      </c>
      <c r="CF15" s="74">
        <f t="shared" ref="CF15:CF78" si="14">$B$2</f>
        <v>25000000</v>
      </c>
      <c r="CG15" s="59">
        <f>CA$13</f>
        <v>0.06</v>
      </c>
      <c r="CH15" s="57">
        <f>Volatilities_Resets!$E4*0.01</f>
        <v>4.7923600000000004E-2</v>
      </c>
      <c r="CI15" s="61">
        <f>IF(CG15=CJ$11,Volatilities_Resets!$AA4,IF(CG15&gt;=CI$11,IF(CG15&lt;CJ$11,(((Volatilities_Resets!$AA4-Volatilities_Resets!$Y4)/50)*((Calculator!CG15-Calculator!CI$11)*10000)+Volatilities_Resets!$Y4)),IF(CG15&gt;=CI$10,IF(CG15&lt;CJ$10,(((Volatilities_Resets!$Y4-Volatilities_Resets!$W4)/50)*((Calculator!CG15-Calculator!CI$10)*10000)+Volatilities_Resets!$W4)),IF(CG15&gt;=CI$9,IF(CG15&lt;CJ$9,(((Volatilities_Resets!$W4-Volatilities_Resets!$U4)/50)*((Calculator!CG15-Calculator!CI$9)*10000)+Volatilities_Resets!$U4)),IF(CG15&gt;=CI$8,IF(CG15&lt;CJ$8,(((Volatilities_Resets!$U4-Volatilities_Resets!$S4)/50)*((Calculator!CG15-Calculator!CI$8)*10000)+Volatilities_Resets!$S4)),IF(CG15&gt;=CI$7,IF(CG15&lt;CJ$7,(((Volatilities_Resets!$S4-Volatilities_Resets!$Q4)/50)*((Calculator!CG15-Calculator!CI$7)*10000)+Volatilities_Resets!$Q4)),IF(CG15&gt;=CI$6,IF(CG15&lt;CJ$6,(((Volatilities_Resets!$Q4-Volatilities_Resets!$O4)/50)*((Calculator!CG15-Calculator!CI$6)*10000)+Volatilities_Resets!$O4)),IF(CG15&gt;=CI$5,IF(CG15&lt;CJ$5,(((Volatilities_Resets!$O4-Volatilities_Resets!$M4)/50)*((Calculator!CG15-Calculator!CI$5)*10000)+Volatilities_Resets!$M4)),IF(CG15&gt;=CI$4,IF(CG15&lt;CJ$4,(((Volatilities_Resets!$M4-Volatilities_Resets!$K4)/50)*((Calculator!CG15-Calculator!CI$4)*10000)+Volatilities_Resets!$K4)),IF(CG15&gt;=CI$3,IF(CG15&lt;CJ$3,(((Volatilities_Resets!$K4-Volatilities_Resets!$I4)/50)*((Calculator!CG15-Calculator!CI$3)*10000)+Volatilities_Resets!$I4)),IF(CG15&gt;=CI$2,IF(CG15&lt;CJ$2,(((Volatilities_Resets!$I4-Volatilities_Resets!$G4)/50)*((Calculator!CG15-Calculator!CI$2)*10000)+Volatilities_Resets!$G4)),"Well, something broke...")))))))))))/10000</f>
        <v>1.8696000000000001E-2</v>
      </c>
      <c r="CJ15" s="47">
        <f ca="1">(((CH15-CG15)*(NORMDIST((CH15-CG15)/(CI15*SQRT(CE15)),0,1,TRUE)))+((CI15*SQRT(CE15))*(NORMDIST((CH15-CG15)/(CI15*SQRT(CE15)),0,1,FALSE))))*CR15*(CD15/360)*CF15</f>
        <v>57.285850056984543</v>
      </c>
      <c r="CK15" s="63">
        <f ca="1">(((CH15-CG15)*(NORMDIST((CH15-CG15)/((CI15+0.0001)*SQRT(CE15)),0,1,TRUE)))+((CI15+0.0001)*SQRT(CE15))*(NORMDIST((CH15-CG15)/((CI15+0.0001)*SQRT(CE15)),0,1,FALSE)))*CR15*(CD15/360)</f>
        <v>2.3816281309749497E-6</v>
      </c>
      <c r="CL15" s="63">
        <f ca="1">CJ15</f>
        <v>57.285850056984543</v>
      </c>
      <c r="CO15" s="63">
        <f ca="1">((CK15-(CJ15/CF15))*CF15)*CR15</f>
        <v>2.245567165658926</v>
      </c>
      <c r="CP15" s="63">
        <f ca="1">SUM($CO$15:CO15)</f>
        <v>2.245567165658926</v>
      </c>
      <c r="CR15" s="52">
        <f ca="1">EXP(-AVERAGE(CH$15:CH15)*CE15)</f>
        <v>0.99588174890557724</v>
      </c>
      <c r="CT15"/>
      <c r="CU15"/>
      <c r="CV15"/>
      <c r="CW15"/>
      <c r="CX15"/>
      <c r="CY15"/>
      <c r="CZ15"/>
      <c r="DA15"/>
      <c r="DB15"/>
      <c r="DC15"/>
      <c r="DD15"/>
      <c r="DE15"/>
      <c r="DF15"/>
      <c r="DG15"/>
      <c r="DH15"/>
      <c r="DI15"/>
      <c r="DJ15"/>
      <c r="DK15"/>
      <c r="DL15"/>
    </row>
    <row r="16" spans="1:116" ht="15.75" customHeight="1">
      <c r="B16" s="52">
        <v>1</v>
      </c>
      <c r="C16" s="52">
        <f t="shared" ref="C16:C50" ca="1" si="15">IF(D16="","",C15+1)</f>
        <v>2</v>
      </c>
      <c r="D16" s="71">
        <f t="shared" ref="D16:D79" ca="1" si="16">EDATE(D15,1)</f>
        <v>45039</v>
      </c>
      <c r="E16" s="71">
        <f t="shared" ca="1" si="0"/>
        <v>45069</v>
      </c>
      <c r="F16" s="72">
        <f t="shared" ca="1" si="1"/>
        <v>30</v>
      </c>
      <c r="G16" s="73">
        <f ca="1">SUM($F$15:F16)/360</f>
        <v>0.16944444444444445</v>
      </c>
      <c r="H16" s="74">
        <f t="shared" si="2"/>
        <v>25000000</v>
      </c>
      <c r="I16" s="59">
        <f>IF('Cap Pricer'!$E$22=DataValidation!$C$2,'Cap Pricer'!$E$23,IF('Cap Pricer'!$E$22=DataValidation!$C$3,VLOOKUP($B16,'Cap Pricer'!$C$25:$E$31,3),""))</f>
        <v>0.02</v>
      </c>
      <c r="J16" s="57">
        <f>Volatilities_Resets!$E5*0.01</f>
        <v>4.8988300000000005E-2</v>
      </c>
      <c r="K16" s="61">
        <f>IF(I16=L$11,Volatilities_Resets!$AA5,IF(I16&gt;=K$11,IF(I16&lt;L$11,(((Volatilities_Resets!$AA5-Volatilities_Resets!$Y5)/50)*((Calculator!I16-Calculator!K$11)*10000)+Volatilities_Resets!$Y5)),IF(I16&gt;=K$10,IF(I16&lt;L$10,(((Volatilities_Resets!$Y5-Volatilities_Resets!$W5)/50)*((Calculator!I16-Calculator!K$10)*10000)+Volatilities_Resets!$W5)),IF(I16&gt;=K$9,IF(I16&lt;L$9,(((Volatilities_Resets!$W5-Volatilities_Resets!$U5)/50)*((Calculator!I16-Calculator!K$9)*10000)+Volatilities_Resets!$U5)),IF(I16&gt;=K$8,IF(I16&lt;L$8,(((Volatilities_Resets!$U5-Volatilities_Resets!$S5)/50)*((Calculator!I16-Calculator!K$8)*10000)+Volatilities_Resets!$S5)),IF(I16&gt;=K$7,IF(I16&lt;L$7,(((Volatilities_Resets!$S5-Volatilities_Resets!$Q5)/50)*((Calculator!I16-Calculator!K$7)*10000)+Volatilities_Resets!$Q5)),IF(I16&gt;=K$6,IF(I16&lt;L$6,(((Volatilities_Resets!$Q5-Volatilities_Resets!$O5)/50)*((Calculator!I16-Calculator!K$6)*10000)+Volatilities_Resets!$O5)),IF(I16&gt;=K$5,IF(I16&lt;L$5,(((Volatilities_Resets!$O5-Volatilities_Resets!$M5)/50)*((Calculator!I16-Calculator!K$5)*10000)+Volatilities_Resets!$M5)),IF(I16&gt;=K$4,IF(I16&lt;L$4,(((Volatilities_Resets!$M5-Volatilities_Resets!$K5)/50)*((Calculator!I16-Calculator!K$4)*10000)+Volatilities_Resets!$K5)),IF(I16&gt;=K$3,IF(I16&lt;L$3,(((Volatilities_Resets!$K5-Volatilities_Resets!$I5)/50)*((Calculator!I16-Calculator!K$3)*10000)+Volatilities_Resets!$I5)),IF(I16&gt;=K$2,IF(I16&lt;L$2,(((Volatilities_Resets!$I5-Volatilities_Resets!$G5)/50)*((Calculator!I16-Calculator!K$2)*10000)+Volatilities_Resets!$G5)),"Well, something broke...")))))))))))/10000</f>
        <v>2.9163999999999999E-2</v>
      </c>
      <c r="L16" s="47">
        <f t="shared" ref="L16:L79" ca="1" si="17">(((J16-I16)*(NORMDIST((J16-I16)/(K16*SQRT(G16)),0,1,TRUE)))+((K16*SQRT(G16))*(NORMDIST((J16-I16)/(K16*SQRT(G16)),0,1,FALSE))))*T16*(F16/360)*H16</f>
        <v>59963.019588219118</v>
      </c>
      <c r="M16" s="63">
        <f t="shared" ref="M16:M79" ca="1" si="18">(((J16-I16)*(NORMDIST((J16-I16)/((K16+0.0001)*SQRT(G16)),0,1,TRUE)))+((K16+0.0001)*SQRT(G16))*(NORMDIST((J16-I16)/((K16+0.0001)*SQRT(G16)),0,1,FALSE)))*T16*(F16/360)</f>
        <v>2.3985950649864441E-3</v>
      </c>
      <c r="N16" s="63">
        <f ca="1">N15+L16</f>
        <v>119831.28391298468</v>
      </c>
      <c r="Q16" s="63">
        <f t="shared" ref="Q16:Q79" ca="1" si="19">((M16-(L16/H16))*H16)*T16</f>
        <v>1.841851498296144</v>
      </c>
      <c r="R16" s="63">
        <f ca="1">SUM($Q$15:Q16)</f>
        <v>1.9598216596372178</v>
      </c>
      <c r="T16" s="52">
        <f ca="1">EXP(-AVERAGE(J$15:J16)*G16)</f>
        <v>0.99182302331667505</v>
      </c>
      <c r="U16" s="57"/>
      <c r="V16" s="52">
        <f t="shared" ref="V16:V79" ca="1" si="20">IF(W16="","",V15+1)</f>
        <v>2</v>
      </c>
      <c r="W16" s="71">
        <f t="shared" ref="W16:W79" ca="1" si="21">EDATE(W15,1)</f>
        <v>45039</v>
      </c>
      <c r="X16" s="71">
        <f t="shared" ca="1" si="3"/>
        <v>45069</v>
      </c>
      <c r="Y16" s="72">
        <f t="shared" ca="1" si="4"/>
        <v>30</v>
      </c>
      <c r="Z16" s="73">
        <f ca="1">SUM(Y$15:Y16)/360</f>
        <v>0.16944444444444445</v>
      </c>
      <c r="AA16" s="74">
        <f t="shared" ref="AA16:AA78" si="22">$B$2</f>
        <v>25000000</v>
      </c>
      <c r="AB16" s="59">
        <f t="shared" ref="AB16:AB79" si="23">V$13</f>
        <v>0.03</v>
      </c>
      <c r="AC16" s="57">
        <f>Volatilities_Resets!$E5*0.01</f>
        <v>4.8988300000000005E-2</v>
      </c>
      <c r="AD16" s="61">
        <f>IF(AB16=AE$11,Volatilities_Resets!$AA5,IF(AB16&gt;=AD$11,IF(AB16&lt;AE$11,(((Volatilities_Resets!$AA5-Volatilities_Resets!$Y5)/50)*((Calculator!AB16-Calculator!AD$11)*10000)+Volatilities_Resets!$Y5)),IF(AB16&gt;=AD$10,IF(AB16&lt;AE$10,(((Volatilities_Resets!$Y5-Volatilities_Resets!$W5)/50)*((Calculator!AB16-Calculator!AD$10)*10000)+Volatilities_Resets!$W5)),IF(AB16&gt;=AD$9,IF(AB16&lt;AE$9,(((Volatilities_Resets!$W5-Volatilities_Resets!$U5)/50)*((Calculator!AB16-Calculator!AD$9)*10000)+Volatilities_Resets!$U5)),IF(AB16&gt;=AD$8,IF(AB16&lt;AE$8,(((Volatilities_Resets!$U5-Volatilities_Resets!$S5)/50)*((Calculator!AB16-Calculator!AD$8)*10000)+Volatilities_Resets!$S5)),IF(AB16&gt;=AD$7,IF(AB16&lt;AE$7,(((Volatilities_Resets!$S5-Volatilities_Resets!$Q5)/50)*((Calculator!AB16-Calculator!AD$7)*10000)+Volatilities_Resets!$Q5)),IF(AB16&gt;=AD$6,IF(AB16&lt;AE$6,(((Volatilities_Resets!$Q5-Volatilities_Resets!$O5)/50)*((Calculator!AB16-Calculator!AD$6)*10000)+Volatilities_Resets!$O5)),IF(AB16&gt;=AD$5,IF(AB16&lt;AE$5,(((Volatilities_Resets!$O5-Volatilities_Resets!$M5)/50)*((Calculator!AB16-Calculator!AD$5)*10000)+Volatilities_Resets!$M5)),IF(AB16&gt;=AD$4,IF(AB16&lt;AE$4,(((Volatilities_Resets!$M5-Volatilities_Resets!$K5)/50)*((Calculator!AB16-Calculator!AD$4)*10000)+Volatilities_Resets!$K5)),IF(AB16&gt;=AD$3,IF(AB16&lt;AE$3,(((Volatilities_Resets!$K5-Volatilities_Resets!$I5)/50)*((Calculator!AB16-Calculator!AD$3)*10000)+Volatilities_Resets!$I5)),IF(AB16&gt;=AD$2,IF(AB16&lt;AE$2,(((Volatilities_Resets!$I5-Volatilities_Resets!$G5)/50)*((Calculator!AB16-Calculator!AD$2)*10000)+Volatilities_Resets!$G5)),"Well, something broke...")))))))))))/10000</f>
        <v>2.7078999999999995E-2</v>
      </c>
      <c r="AE16" s="63">
        <f t="shared" ref="AE16:AE79" ca="1" si="24">(((AC16-AB16)*(NORMDIST((AC16-AB16)/(AD16*SQRT(Z16)),0,1,TRUE)))+((AD16*SQRT(Z16))*(NORMDIST((AC16-AB16)/(AD16*SQRT(Z16)),0,1,FALSE))))*AM16*(Y16/360)*AA16</f>
        <v>39653.127435888142</v>
      </c>
      <c r="AF16" s="63">
        <f t="shared" ref="AF16:AF79" ca="1" si="25">(((AC16-AB16)*(NORMDIST((AC16-AB16)/((AD16+0.0001)*SQRT(Z16)),0,1,TRUE)))+((AD16+0.0001)*SQRT(Z16))*(NORMDIST((AC16-AB16)/((AD16+0.0001)*SQRT(Z16)),0,1,FALSE)))*AM16*(Y16/360)</f>
        <v>1.5864448851326638E-3</v>
      </c>
      <c r="AG16" s="63">
        <f ca="1">AG15+AE16</f>
        <v>78148.142439207601</v>
      </c>
      <c r="AJ16" s="63">
        <f t="shared" ref="AJ16:AJ79" ca="1" si="26">((AF16-(AE16/AA16))*AA16)*AM16</f>
        <v>7.9293200148754002</v>
      </c>
      <c r="AK16" s="63">
        <f ca="1">SUM($AJ$15:AJ16)</f>
        <v>9.8624525472338451</v>
      </c>
      <c r="AM16" s="52">
        <f ca="1">EXP(-AVERAGE(AC$15:AC16)*Z16)</f>
        <v>0.99182302331667505</v>
      </c>
      <c r="AO16" s="52">
        <f t="shared" ref="AO16:AO79" ca="1" si="27">IF(AP16="","",AO15+1)</f>
        <v>2</v>
      </c>
      <c r="AP16" s="71">
        <f t="shared" ref="AP16:AP79" ca="1" si="28">EDATE(AP15,1)</f>
        <v>45039</v>
      </c>
      <c r="AQ16" s="71">
        <f t="shared" ca="1" si="5"/>
        <v>45069</v>
      </c>
      <c r="AR16" s="72">
        <f t="shared" ca="1" si="6"/>
        <v>30</v>
      </c>
      <c r="AS16" s="73">
        <f ca="1">SUM(AR$15:AR16)/360</f>
        <v>0.16944444444444445</v>
      </c>
      <c r="AT16" s="74">
        <f t="shared" si="7"/>
        <v>25000000</v>
      </c>
      <c r="AU16" s="59">
        <f t="shared" ref="AU16:AU79" si="29">AO$13</f>
        <v>0.04</v>
      </c>
      <c r="AV16" s="57">
        <f>Volatilities_Resets!$E5*0.01</f>
        <v>4.8988300000000005E-2</v>
      </c>
      <c r="AW16" s="61">
        <f>IF(AU16=AX$11,Volatilities_Resets!$AA5,IF(AU16&gt;=AW$11,IF(AU16&lt;AX$11,(((Volatilities_Resets!$AA5-Volatilities_Resets!$Y5)/50)*((Calculator!AU16-Calculator!AW$11)*10000)+Volatilities_Resets!$Y5)),IF(AU16&gt;=AW$10,IF(AU16&lt;AX$10,(((Volatilities_Resets!$Y5-Volatilities_Resets!$W5)/50)*((Calculator!AU16-Calculator!AW$10)*10000)+Volatilities_Resets!$W5)),IF(AU16&gt;=AW$9,IF(AU16&lt;AX$9,(((Volatilities_Resets!$W5-Volatilities_Resets!$U5)/50)*((Calculator!AU16-Calculator!AW$9)*10000)+Volatilities_Resets!$U5)),IF(AU16&gt;=AW$8,IF(AU16&lt;AX$8,(((Volatilities_Resets!$U5-Volatilities_Resets!$S5)/50)*((Calculator!AU16-Calculator!AW$8)*10000)+Volatilities_Resets!$S5)),IF(AU16&gt;=AW$7,IF(AU16&lt;AX$7,(((Volatilities_Resets!$S5-Volatilities_Resets!$Q5)/50)*((Calculator!AU16-Calculator!AW$7)*10000)+Volatilities_Resets!$Q5)),IF(AU16&gt;=AW$6,IF(AU16&lt;AX$6,(((Volatilities_Resets!$Q5-Volatilities_Resets!$O5)/50)*((Calculator!AU16-Calculator!AW$6)*10000)+Volatilities_Resets!$O5)),IF(AU16&gt;=AW$5,IF(AU16&lt;AX$5,(((Volatilities_Resets!$O5-Volatilities_Resets!$M5)/50)*((Calculator!AU16-Calculator!AW$5)*10000)+Volatilities_Resets!$M5)),IF(AU16&gt;=AW$4,IF(AU16&lt;AX$4,(((Volatilities_Resets!$M5-Volatilities_Resets!$K5)/50)*((Calculator!AU16-Calculator!AW$4)*10000)+Volatilities_Resets!$K5)),IF(AU16&gt;=AW$3,IF(AU16&lt;AX$3,(((Volatilities_Resets!$K5-Volatilities_Resets!$I5)/50)*((Calculator!AU16-Calculator!AW$3)*10000)+Volatilities_Resets!$I5)),IF(AU16&gt;=AW$2,IF(AU16&lt;AX$2,(((Volatilities_Resets!$I5-Volatilities_Resets!$G5)/50)*((Calculator!AU16-Calculator!AW$2)*10000)+Volatilities_Resets!$G5)),"Well, something broke...")))))))))))/10000</f>
        <v>2.3970999999999999E-2</v>
      </c>
      <c r="AX16" s="63">
        <f t="shared" ref="AX16:AX79" ca="1" si="30">(((AV16-AU16)*(NORMDIST((AV16-AU16)/(AW16*SQRT(AS16)),0,1,TRUE)))+((AW16*SQRT(AS16))*(NORMDIST((AV16-AU16)/(AW16*SQRT(AS16)),0,1,FALSE))))*BF16*(AR16/360)*AT16</f>
        <v>20579.543016063068</v>
      </c>
      <c r="AY16" s="63">
        <f t="shared" ref="AY16:AY79" ca="1" si="31">(((AV16-AU16)*(NORMDIST((AV16-AU16)/((AW16+0.0001)*SQRT(AS16)),0,1,TRUE)))+((AW16+0.0001)*SQRT(AS16))*(NORMDIST((AV16-AU16)/((AW16+0.0001)*SQRT(AS16)),0,1,FALSE)))*BF16*(AR16/360)</f>
        <v>8.2407965397672935E-4</v>
      </c>
      <c r="AZ16" s="63">
        <f ca="1">AZ15+AX16</f>
        <v>38533.669338451473</v>
      </c>
      <c r="BC16" s="63">
        <f t="shared" ca="1" si="8"/>
        <v>22.264773856740501</v>
      </c>
      <c r="BD16" s="63">
        <f ca="1">SUM($BC$15:BC16)</f>
        <v>35.472376184713269</v>
      </c>
      <c r="BF16" s="52">
        <f ca="1">EXP(-AVERAGE(AV$15:AV16)*AS16)</f>
        <v>0.99182302331667505</v>
      </c>
      <c r="BH16" s="52">
        <f t="shared" ref="BH16:BH79" ca="1" si="32">IF(BI16="","",BH15+1)</f>
        <v>2</v>
      </c>
      <c r="BI16" s="71">
        <f t="shared" ref="BI16:BI79" ca="1" si="33">EDATE(BI15,1)</f>
        <v>45039</v>
      </c>
      <c r="BJ16" s="71">
        <f t="shared" ca="1" si="9"/>
        <v>45069</v>
      </c>
      <c r="BK16" s="72">
        <f t="shared" ca="1" si="10"/>
        <v>30</v>
      </c>
      <c r="BL16" s="73">
        <f ca="1">SUM(BK$15:BK16)/360</f>
        <v>0.16944444444444445</v>
      </c>
      <c r="BM16" s="74">
        <f t="shared" si="11"/>
        <v>25000000</v>
      </c>
      <c r="BN16" s="59">
        <f t="shared" ref="BN16:BN79" si="34">BH$13</f>
        <v>0.05</v>
      </c>
      <c r="BO16" s="57">
        <f>Volatilities_Resets!$E5*0.01</f>
        <v>4.8988300000000005E-2</v>
      </c>
      <c r="BP16" s="61">
        <f>IF(BN16=BQ$11,Volatilities_Resets!$AA5,IF(BN16&gt;=BP$11,IF(BN16&lt;BQ$11,(((Volatilities_Resets!$AA5-Volatilities_Resets!$Y5)/50)*((Calculator!BN16-Calculator!BP$11)*10000)+Volatilities_Resets!$Y5)),IF(BN16&gt;=BP$10,IF(BN16&lt;BQ$10,(((Volatilities_Resets!$Y5-Volatilities_Resets!$W5)/50)*((Calculator!BN16-Calculator!BP$10)*10000)+Volatilities_Resets!$W5)),IF(BN16&gt;=BP$9,IF(BN16&lt;BQ$9,(((Volatilities_Resets!$W5-Volatilities_Resets!$U5)/50)*((Calculator!BN16-Calculator!BP$9)*10000)+Volatilities_Resets!$U5)),IF(BN16&gt;=BP$8,IF(BN16&lt;BQ$8,(((Volatilities_Resets!$U5-Volatilities_Resets!$S5)/50)*((Calculator!BN16-Calculator!BP$8)*10000)+Volatilities_Resets!$S5)),IF(BN16&gt;=BP$7,IF(BN16&lt;BQ$7,(((Volatilities_Resets!$S5-Volatilities_Resets!$Q5)/50)*((Calculator!BN16-Calculator!BP$7)*10000)+Volatilities_Resets!$Q5)),IF(BN16&gt;=BP$6,IF(BN16&lt;BQ$6,(((Volatilities_Resets!$Q5-Volatilities_Resets!$O5)/50)*((Calculator!BN16-Calculator!BP$6)*10000)+Volatilities_Resets!$O5)),IF(BN16&gt;=BP$5,IF(BN16&lt;BQ$5,(((Volatilities_Resets!$O5-Volatilities_Resets!$M5)/50)*((Calculator!BN16-Calculator!BP$5)*10000)+Volatilities_Resets!$M5)),IF(BN16&gt;=BP$4,IF(BN16&lt;BQ$4,(((Volatilities_Resets!$M5-Volatilities_Resets!$K5)/50)*((Calculator!BN16-Calculator!BP$4)*10000)+Volatilities_Resets!$K5)),IF(BN16&gt;=BP$3,IF(BN16&lt;BQ$3,(((Volatilities_Resets!$K5-Volatilities_Resets!$I5)/50)*((Calculator!BN16-Calculator!BP$3)*10000)+Volatilities_Resets!$I5)),IF(BN16&gt;=BP$2,IF(BN16&lt;BQ$2,(((Volatilities_Resets!$I5-Volatilities_Resets!$G5)/50)*((Calculator!BN16-Calculator!BP$2)*10000)+Volatilities_Resets!$G5)),"Well, something broke...")))))))))))/10000</f>
        <v>2.0722000000000001E-2</v>
      </c>
      <c r="BQ16" s="63">
        <f t="shared" ref="BQ16:BQ79" ca="1" si="35">(((BO16-BN16)*(NORMDIST((BO16-BN16)/(BP16*SQRT(BL16)),0,1,TRUE)))+((BP16*SQRT(BL16))*(NORMDIST((BO16-BN16)/(BP16*SQRT(BL16)),0,1,FALSE))))*BY16*(BK16/360)*BM16</f>
        <v>6035.6686446884551</v>
      </c>
      <c r="BR16" s="63">
        <f t="shared" ref="BR16:BR79" ca="1" si="36">(((BO16-BN16)*(NORMDIST((BO16-BN16)/((BP16+0.0001)*SQRT(BL16)),0,1,TRUE)))+((BP16+0.0001)*SQRT(BL16))*(NORMDIST((BO16-BN16)/((BP16+0.0001)*SQRT(BL16)),0,1,FALSE)))*BY16*(BK16/360)</f>
        <v>2.4277458054895777E-4</v>
      </c>
      <c r="BS16" s="63">
        <f ca="1">BS15+BQ16</f>
        <v>9290.4635695298803</v>
      </c>
      <c r="BV16" s="63">
        <f t="shared" ref="BV16:BV79" ca="1" si="37">((BR16-(BQ16/BM16))*BM16)*BY16</f>
        <v>33.420338700061436</v>
      </c>
      <c r="BW16" s="63">
        <f ca="1">SUM($BV$15:BV16)</f>
        <v>56.994930597908485</v>
      </c>
      <c r="BY16" s="52">
        <f ca="1">EXP(-AVERAGE(BO$15:BO16)*BL16)</f>
        <v>0.99182302331667505</v>
      </c>
      <c r="CA16" s="52">
        <f t="shared" ref="CA16:CA79" ca="1" si="38">IF(CB16="","",CA15+1)</f>
        <v>2</v>
      </c>
      <c r="CB16" s="71">
        <f t="shared" ref="CB16:CB79" ca="1" si="39">EDATE(CB15,1)</f>
        <v>45039</v>
      </c>
      <c r="CC16" s="71">
        <f t="shared" ca="1" si="12"/>
        <v>45069</v>
      </c>
      <c r="CD16" s="72">
        <f t="shared" ca="1" si="13"/>
        <v>30</v>
      </c>
      <c r="CE16" s="73">
        <f ca="1">SUM(CD$15:CD16)/360</f>
        <v>0.16944444444444445</v>
      </c>
      <c r="CF16" s="74">
        <f t="shared" si="14"/>
        <v>25000000</v>
      </c>
      <c r="CG16" s="59">
        <f t="shared" ref="CG16:CG79" si="40">CA$13</f>
        <v>0.06</v>
      </c>
      <c r="CH16" s="57">
        <f>Volatilities_Resets!$E5*0.01</f>
        <v>4.8988300000000005E-2</v>
      </c>
      <c r="CI16" s="61">
        <f>IF(CG16=CJ$11,Volatilities_Resets!$AA5,IF(CG16&gt;=CI$11,IF(CG16&lt;CJ$11,(((Volatilities_Resets!$AA5-Volatilities_Resets!$Y5)/50)*((Calculator!CG16-Calculator!CI$11)*10000)+Volatilities_Resets!$Y5)),IF(CG16&gt;=CI$10,IF(CG16&lt;CJ$10,(((Volatilities_Resets!$Y5-Volatilities_Resets!$W5)/50)*((Calculator!CG16-Calculator!CI$10)*10000)+Volatilities_Resets!$W5)),IF(CG16&gt;=CI$9,IF(CG16&lt;CJ$9,(((Volatilities_Resets!$W5-Volatilities_Resets!$U5)/50)*((Calculator!CG16-Calculator!CI$9)*10000)+Volatilities_Resets!$U5)),IF(CG16&gt;=CI$8,IF(CG16&lt;CJ$8,(((Volatilities_Resets!$U5-Volatilities_Resets!$S5)/50)*((Calculator!CG16-Calculator!CI$8)*10000)+Volatilities_Resets!$S5)),IF(CG16&gt;=CI$7,IF(CG16&lt;CJ$7,(((Volatilities_Resets!$S5-Volatilities_Resets!$Q5)/50)*((Calculator!CG16-Calculator!CI$7)*10000)+Volatilities_Resets!$Q5)),IF(CG16&gt;=CI$6,IF(CG16&lt;CJ$6,(((Volatilities_Resets!$Q5-Volatilities_Resets!$O5)/50)*((Calculator!CG16-Calculator!CI$6)*10000)+Volatilities_Resets!$O5)),IF(CG16&gt;=CI$5,IF(CG16&lt;CJ$5,(((Volatilities_Resets!$O5-Volatilities_Resets!$M5)/50)*((Calculator!CG16-Calculator!CI$5)*10000)+Volatilities_Resets!$M5)),IF(CG16&gt;=CI$4,IF(CG16&lt;CJ$4,(((Volatilities_Resets!$M5-Volatilities_Resets!$K5)/50)*((Calculator!CG16-Calculator!CI$4)*10000)+Volatilities_Resets!$K5)),IF(CG16&gt;=CI$3,IF(CG16&lt;CJ$3,(((Volatilities_Resets!$K5-Volatilities_Resets!$I5)/50)*((Calculator!CG16-Calculator!CI$3)*10000)+Volatilities_Resets!$I5)),IF(CG16&gt;=CI$2,IF(CG16&lt;CJ$2,(((Volatilities_Resets!$I5-Volatilities_Resets!$G5)/50)*((Calculator!CG16-Calculator!CI$2)*10000)+Volatilities_Resets!$G5)),"Well, something broke...")))))))))))/10000</f>
        <v>1.8742999999999999E-2</v>
      </c>
      <c r="CJ16" s="63">
        <f t="shared" ref="CJ16:CJ79" ca="1" si="41">(((CH16-CG16)*(NORMDIST((CH16-CG16)/(CI16*SQRT(CE16)),0,1,TRUE)))+((CI16*SQRT(CE16))*(NORMDIST((CH16-CG16)/(CI16*SQRT(CE16)),0,1,FALSE))))*CR16*(CD16/360)*CF16</f>
        <v>550.35375191495348</v>
      </c>
      <c r="CK16" s="63">
        <f t="shared" ref="CK16:CK79" ca="1" si="42">(((CH16-CG16)*(NORMDIST((CH16-CG16)/((CI16+0.0001)*SQRT(CE16)),0,1,TRUE)))+((CI16+0.0001)*SQRT(CE16))*(NORMDIST((CH16-CG16)/((CI16+0.0001)*SQRT(CE16)),0,1,FALSE)))*CR16*(CD16/360)</f>
        <v>2.2506966261504329E-5</v>
      </c>
      <c r="CL16" s="63">
        <f ca="1">CL15+CJ16</f>
        <v>607.63960197193796</v>
      </c>
      <c r="CO16" s="63">
        <f t="shared" ref="CO16:CO79" ca="1" si="43">((CK16-(CJ16/CF16))*CF16)*CR16</f>
        <v>12.219660961326209</v>
      </c>
      <c r="CP16" s="63">
        <f ca="1">SUM($CO$15:CO16)</f>
        <v>14.465228126985135</v>
      </c>
      <c r="CR16" s="52">
        <f ca="1">EXP(-AVERAGE(CH$15:CH16)*CE16)</f>
        <v>0.99182302331667505</v>
      </c>
      <c r="CT16"/>
      <c r="CU16"/>
      <c r="CV16"/>
      <c r="CW16"/>
      <c r="CX16"/>
      <c r="CY16"/>
      <c r="CZ16"/>
      <c r="DA16"/>
      <c r="DB16"/>
      <c r="DC16"/>
      <c r="DD16"/>
      <c r="DE16"/>
      <c r="DF16"/>
      <c r="DG16"/>
      <c r="DH16"/>
      <c r="DI16"/>
      <c r="DJ16"/>
      <c r="DK16"/>
      <c r="DL16"/>
    </row>
    <row r="17" spans="2:116" ht="15.75" customHeight="1">
      <c r="B17" s="52">
        <v>1</v>
      </c>
      <c r="C17" s="52">
        <f t="shared" ca="1" si="15"/>
        <v>3</v>
      </c>
      <c r="D17" s="71">
        <f ca="1">EDATE(D16,1)</f>
        <v>45069</v>
      </c>
      <c r="E17" s="71">
        <f t="shared" ca="1" si="0"/>
        <v>45100</v>
      </c>
      <c r="F17" s="72">
        <f t="shared" ca="1" si="1"/>
        <v>31</v>
      </c>
      <c r="G17" s="73">
        <f ca="1">SUM($F$15:F17)/360</f>
        <v>0.25555555555555554</v>
      </c>
      <c r="H17" s="74">
        <f t="shared" si="2"/>
        <v>25000000</v>
      </c>
      <c r="I17" s="59">
        <f>IF('Cap Pricer'!$E$22=DataValidation!$C$2,'Cap Pricer'!$E$23,IF('Cap Pricer'!$E$22=DataValidation!$C$3,VLOOKUP($B17,'Cap Pricer'!$C$25:$E$31,3),""))</f>
        <v>0.02</v>
      </c>
      <c r="J17" s="57">
        <f>Volatilities_Resets!$E6*0.01</f>
        <v>4.8788600000000008E-2</v>
      </c>
      <c r="K17" s="61">
        <f>IF(I17=L$11,Volatilities_Resets!$AA6,IF(I17&gt;=K$11,IF(I17&lt;L$11,(((Volatilities_Resets!$AA6-Volatilities_Resets!$Y6)/50)*((Calculator!I17-Calculator!K$11)*10000)+Volatilities_Resets!$Y6)),IF(I17&gt;=K$10,IF(I17&lt;L$10,(((Volatilities_Resets!$Y6-Volatilities_Resets!$W6)/50)*((Calculator!I17-Calculator!K$10)*10000)+Volatilities_Resets!$W6)),IF(I17&gt;=K$9,IF(I17&lt;L$9,(((Volatilities_Resets!$W6-Volatilities_Resets!$U6)/50)*((Calculator!I17-Calculator!K$9)*10000)+Volatilities_Resets!$U6)),IF(I17&gt;=K$8,IF(I17&lt;L$8,(((Volatilities_Resets!$U6-Volatilities_Resets!$S6)/50)*((Calculator!I17-Calculator!K$8)*10000)+Volatilities_Resets!$S6)),IF(I17&gt;=K$7,IF(I17&lt;L$7,(((Volatilities_Resets!$S6-Volatilities_Resets!$Q6)/50)*((Calculator!I17-Calculator!K$7)*10000)+Volatilities_Resets!$Q6)),IF(I17&gt;=K$6,IF(I17&lt;L$6,(((Volatilities_Resets!$Q6-Volatilities_Resets!$O6)/50)*((Calculator!I17-Calculator!K$6)*10000)+Volatilities_Resets!$O6)),IF(I17&gt;=K$5,IF(I17&lt;L$5,(((Volatilities_Resets!$O6-Volatilities_Resets!$M6)/50)*((Calculator!I17-Calculator!K$5)*10000)+Volatilities_Resets!$M6)),IF(I17&gt;=K$4,IF(I17&lt;L$4,(((Volatilities_Resets!$M6-Volatilities_Resets!$K6)/50)*((Calculator!I17-Calculator!K$4)*10000)+Volatilities_Resets!$K6)),IF(I17&gt;=K$3,IF(I17&lt;L$3,(((Volatilities_Resets!$K6-Volatilities_Resets!$I6)/50)*((Calculator!I17-Calculator!K$3)*10000)+Volatilities_Resets!$I6)),IF(I17&gt;=K$2,IF(I17&lt;L$2,(((Volatilities_Resets!$I6-Volatilities_Resets!$G6)/50)*((Calculator!I17-Calculator!K$2)*10000)+Volatilities_Resets!$G6)),"Well, something broke...")))))))))))/10000</f>
        <v>2.9118999999999999E-2</v>
      </c>
      <c r="L17" s="47">
        <f t="shared" ca="1" si="17"/>
        <v>61510.006076504644</v>
      </c>
      <c r="M17" s="63">
        <f t="shared" ca="1" si="18"/>
        <v>2.4606552979623379E-3</v>
      </c>
      <c r="N17" s="63">
        <f ca="1">N16+L17</f>
        <v>181341.28998948933</v>
      </c>
      <c r="Q17" s="63">
        <f t="shared" ca="1" si="19"/>
        <v>6.2977211538745212</v>
      </c>
      <c r="R17" s="63">
        <f ca="1">SUM($Q$15:Q17)</f>
        <v>8.2575428135117388</v>
      </c>
      <c r="T17" s="52">
        <f ca="1">EXP(-AVERAGE(J$15:J17)*G17)</f>
        <v>0.98766518121969238</v>
      </c>
      <c r="U17" s="57"/>
      <c r="V17" s="52">
        <f t="shared" ca="1" si="20"/>
        <v>3</v>
      </c>
      <c r="W17" s="71">
        <f ca="1">EDATE(W16,1)</f>
        <v>45069</v>
      </c>
      <c r="X17" s="71">
        <f t="shared" ca="1" si="3"/>
        <v>45100</v>
      </c>
      <c r="Y17" s="72">
        <f t="shared" ca="1" si="4"/>
        <v>31</v>
      </c>
      <c r="Z17" s="73">
        <f ca="1">SUM(Y$15:Y17)/360</f>
        <v>0.25555555555555554</v>
      </c>
      <c r="AA17" s="74">
        <f t="shared" si="22"/>
        <v>25000000</v>
      </c>
      <c r="AB17" s="59">
        <f t="shared" si="23"/>
        <v>0.03</v>
      </c>
      <c r="AC17" s="57">
        <f>Volatilities_Resets!$E6*0.01</f>
        <v>4.8788600000000008E-2</v>
      </c>
      <c r="AD17" s="61">
        <f>IF(AB17=AE$11,Volatilities_Resets!$AA6,IF(AB17&gt;=AD$11,IF(AB17&lt;AE$11,(((Volatilities_Resets!$AA6-Volatilities_Resets!$Y6)/50)*((Calculator!AB17-Calculator!AD$11)*10000)+Volatilities_Resets!$Y6)),IF(AB17&gt;=AD$10,IF(AB17&lt;AE$10,(((Volatilities_Resets!$Y6-Volatilities_Resets!$W6)/50)*((Calculator!AB17-Calculator!AD$10)*10000)+Volatilities_Resets!$W6)),IF(AB17&gt;=AD$9,IF(AB17&lt;AE$9,(((Volatilities_Resets!$W6-Volatilities_Resets!$U6)/50)*((Calculator!AB17-Calculator!AD$9)*10000)+Volatilities_Resets!$U6)),IF(AB17&gt;=AD$8,IF(AB17&lt;AE$8,(((Volatilities_Resets!$U6-Volatilities_Resets!$S6)/50)*((Calculator!AB17-Calculator!AD$8)*10000)+Volatilities_Resets!$S6)),IF(AB17&gt;=AD$7,IF(AB17&lt;AE$7,(((Volatilities_Resets!$S6-Volatilities_Resets!$Q6)/50)*((Calculator!AB17-Calculator!AD$7)*10000)+Volatilities_Resets!$Q6)),IF(AB17&gt;=AD$6,IF(AB17&lt;AE$6,(((Volatilities_Resets!$Q6-Volatilities_Resets!$O6)/50)*((Calculator!AB17-Calculator!AD$6)*10000)+Volatilities_Resets!$O6)),IF(AB17&gt;=AD$5,IF(AB17&lt;AE$5,(((Volatilities_Resets!$O6-Volatilities_Resets!$M6)/50)*((Calculator!AB17-Calculator!AD$5)*10000)+Volatilities_Resets!$M6)),IF(AB17&gt;=AD$4,IF(AB17&lt;AE$4,(((Volatilities_Resets!$M6-Volatilities_Resets!$K6)/50)*((Calculator!AB17-Calculator!AD$4)*10000)+Volatilities_Resets!$K6)),IF(AB17&gt;=AD$3,IF(AB17&lt;AE$3,(((Volatilities_Resets!$K6-Volatilities_Resets!$I6)/50)*((Calculator!AB17-Calculator!AD$3)*10000)+Volatilities_Resets!$I6)),IF(AB17&gt;=AD$2,IF(AB17&lt;AE$2,(((Volatilities_Resets!$I6-Volatilities_Resets!$G6)/50)*((Calculator!AB17-Calculator!AD$2)*10000)+Volatilities_Resets!$G6)),"Well, something broke...")))))))))))/10000</f>
        <v>2.7016999999999996E-2</v>
      </c>
      <c r="AE17" s="63">
        <f t="shared" ca="1" si="24"/>
        <v>41071.945032230033</v>
      </c>
      <c r="AF17" s="63">
        <f t="shared" ca="1" si="25"/>
        <v>1.6435459807239831E-3</v>
      </c>
      <c r="AG17" s="63">
        <f ca="1">AG16+AE17</f>
        <v>119220.08747143764</v>
      </c>
      <c r="AJ17" s="63">
        <f t="shared" ca="1" si="26"/>
        <v>16.498439063526266</v>
      </c>
      <c r="AK17" s="63">
        <f ca="1">SUM($AJ$15:AJ17)</f>
        <v>26.360891610760113</v>
      </c>
      <c r="AM17" s="52">
        <f ca="1">EXP(-AVERAGE(AC$15:AC17)*Z17)</f>
        <v>0.98766518121969238</v>
      </c>
      <c r="AO17" s="52">
        <f t="shared" ca="1" si="27"/>
        <v>3</v>
      </c>
      <c r="AP17" s="71">
        <f ca="1">EDATE(AP16,1)</f>
        <v>45069</v>
      </c>
      <c r="AQ17" s="71">
        <f t="shared" ca="1" si="5"/>
        <v>45100</v>
      </c>
      <c r="AR17" s="72">
        <f t="shared" ca="1" si="6"/>
        <v>31</v>
      </c>
      <c r="AS17" s="73">
        <f ca="1">SUM(AR$15:AR17)/360</f>
        <v>0.25555555555555554</v>
      </c>
      <c r="AT17" s="74">
        <f t="shared" si="7"/>
        <v>25000000</v>
      </c>
      <c r="AU17" s="59">
        <f t="shared" si="29"/>
        <v>0.04</v>
      </c>
      <c r="AV17" s="57">
        <f>Volatilities_Resets!$E6*0.01</f>
        <v>4.8788600000000008E-2</v>
      </c>
      <c r="AW17" s="61">
        <f>IF(AU17=AX$11,Volatilities_Resets!$AA6,IF(AU17&gt;=AW$11,IF(AU17&lt;AX$11,(((Volatilities_Resets!$AA6-Volatilities_Resets!$Y6)/50)*((Calculator!AU17-Calculator!AW$11)*10000)+Volatilities_Resets!$Y6)),IF(AU17&gt;=AW$10,IF(AU17&lt;AX$10,(((Volatilities_Resets!$Y6-Volatilities_Resets!$W6)/50)*((Calculator!AU17-Calculator!AW$10)*10000)+Volatilities_Resets!$W6)),IF(AU17&gt;=AW$9,IF(AU17&lt;AX$9,(((Volatilities_Resets!$W6-Volatilities_Resets!$U6)/50)*((Calculator!AU17-Calculator!AW$9)*10000)+Volatilities_Resets!$U6)),IF(AU17&gt;=AW$8,IF(AU17&lt;AX$8,(((Volatilities_Resets!$U6-Volatilities_Resets!$S6)/50)*((Calculator!AU17-Calculator!AW$8)*10000)+Volatilities_Resets!$S6)),IF(AU17&gt;=AW$7,IF(AU17&lt;AX$7,(((Volatilities_Resets!$S6-Volatilities_Resets!$Q6)/50)*((Calculator!AU17-Calculator!AW$7)*10000)+Volatilities_Resets!$Q6)),IF(AU17&gt;=AW$6,IF(AU17&lt;AX$6,(((Volatilities_Resets!$Q6-Volatilities_Resets!$O6)/50)*((Calculator!AU17-Calculator!AW$6)*10000)+Volatilities_Resets!$O6)),IF(AU17&gt;=AW$5,IF(AU17&lt;AX$5,(((Volatilities_Resets!$O6-Volatilities_Resets!$M6)/50)*((Calculator!AU17-Calculator!AW$5)*10000)+Volatilities_Resets!$M6)),IF(AU17&gt;=AW$4,IF(AU17&lt;AX$4,(((Volatilities_Resets!$M6-Volatilities_Resets!$K6)/50)*((Calculator!AU17-Calculator!AW$4)*10000)+Volatilities_Resets!$K6)),IF(AU17&gt;=AW$3,IF(AU17&lt;AX$3,(((Volatilities_Resets!$K6-Volatilities_Resets!$I6)/50)*((Calculator!AU17-Calculator!AW$3)*10000)+Volatilities_Resets!$I6)),IF(AU17&gt;=AW$2,IF(AU17&lt;AX$2,(((Volatilities_Resets!$I6-Volatilities_Resets!$G6)/50)*((Calculator!AU17-Calculator!AW$2)*10000)+Volatilities_Resets!$G6)),"Well, something broke...")))))))))))/10000</f>
        <v>2.3895E-2</v>
      </c>
      <c r="AX17" s="63">
        <f t="shared" ca="1" si="30"/>
        <v>22187.950689551228</v>
      </c>
      <c r="AY17" s="63">
        <f t="shared" ca="1" si="31"/>
        <v>8.8883584327612063E-4</v>
      </c>
      <c r="AZ17" s="63">
        <f ca="1">AZ16+AX17</f>
        <v>60721.620028002697</v>
      </c>
      <c r="BC17" s="63">
        <f t="shared" ca="1" si="8"/>
        <v>32.539016907483564</v>
      </c>
      <c r="BD17" s="63">
        <f ca="1">SUM($BC$15:BC17)</f>
        <v>68.01139309219684</v>
      </c>
      <c r="BF17" s="52">
        <f ca="1">EXP(-AVERAGE(AV$15:AV17)*AS17)</f>
        <v>0.98766518121969238</v>
      </c>
      <c r="BH17" s="52">
        <f t="shared" ca="1" si="32"/>
        <v>3</v>
      </c>
      <c r="BI17" s="71">
        <f ca="1">EDATE(BI16,1)</f>
        <v>45069</v>
      </c>
      <c r="BJ17" s="71">
        <f t="shared" ca="1" si="9"/>
        <v>45100</v>
      </c>
      <c r="BK17" s="72">
        <f t="shared" ca="1" si="10"/>
        <v>31</v>
      </c>
      <c r="BL17" s="73">
        <f ca="1">SUM(BK$15:BK17)/360</f>
        <v>0.25555555555555554</v>
      </c>
      <c r="BM17" s="74">
        <f t="shared" si="11"/>
        <v>25000000</v>
      </c>
      <c r="BN17" s="59">
        <f t="shared" si="34"/>
        <v>0.05</v>
      </c>
      <c r="BO17" s="57">
        <f>Volatilities_Resets!$E6*0.01</f>
        <v>4.8788600000000008E-2</v>
      </c>
      <c r="BP17" s="61">
        <f>IF(BN17=BQ$11,Volatilities_Resets!$AA6,IF(BN17&gt;=BP$11,IF(BN17&lt;BQ$11,(((Volatilities_Resets!$AA6-Volatilities_Resets!$Y6)/50)*((Calculator!BN17-Calculator!BP$11)*10000)+Volatilities_Resets!$Y6)),IF(BN17&gt;=BP$10,IF(BN17&lt;BQ$10,(((Volatilities_Resets!$Y6-Volatilities_Resets!$W6)/50)*((Calculator!BN17-Calculator!BP$10)*10000)+Volatilities_Resets!$W6)),IF(BN17&gt;=BP$9,IF(BN17&lt;BQ$9,(((Volatilities_Resets!$W6-Volatilities_Resets!$U6)/50)*((Calculator!BN17-Calculator!BP$9)*10000)+Volatilities_Resets!$U6)),IF(BN17&gt;=BP$8,IF(BN17&lt;BQ$8,(((Volatilities_Resets!$U6-Volatilities_Resets!$S6)/50)*((Calculator!BN17-Calculator!BP$8)*10000)+Volatilities_Resets!$S6)),IF(BN17&gt;=BP$7,IF(BN17&lt;BQ$7,(((Volatilities_Resets!$S6-Volatilities_Resets!$Q6)/50)*((Calculator!BN17-Calculator!BP$7)*10000)+Volatilities_Resets!$Q6)),IF(BN17&gt;=BP$6,IF(BN17&lt;BQ$6,(((Volatilities_Resets!$Q6-Volatilities_Resets!$O6)/50)*((Calculator!BN17-Calculator!BP$6)*10000)+Volatilities_Resets!$O6)),IF(BN17&gt;=BP$5,IF(BN17&lt;BQ$5,(((Volatilities_Resets!$O6-Volatilities_Resets!$M6)/50)*((Calculator!BN17-Calculator!BP$5)*10000)+Volatilities_Resets!$M6)),IF(BN17&gt;=BP$4,IF(BN17&lt;BQ$4,(((Volatilities_Resets!$M6-Volatilities_Resets!$K6)/50)*((Calculator!BN17-Calculator!BP$4)*10000)+Volatilities_Resets!$K6)),IF(BN17&gt;=BP$3,IF(BN17&lt;BQ$3,(((Volatilities_Resets!$K6-Volatilities_Resets!$I6)/50)*((Calculator!BN17-Calculator!BP$3)*10000)+Volatilities_Resets!$I6)),IF(BN17&gt;=BP$2,IF(BN17&lt;BQ$2,(((Volatilities_Resets!$I6-Volatilities_Resets!$G6)/50)*((Calculator!BN17-Calculator!BP$2)*10000)+Volatilities_Resets!$G6)),"Well, something broke...")))))))))))/10000</f>
        <v>2.0638E-2</v>
      </c>
      <c r="BQ17" s="63">
        <f t="shared" ca="1" si="35"/>
        <v>7621.4503213223434</v>
      </c>
      <c r="BR17" s="63">
        <f t="shared" ca="1" si="36"/>
        <v>3.0656177200549432E-4</v>
      </c>
      <c r="BS17" s="63">
        <f ca="1">BS16+BQ17</f>
        <v>16911.913890852222</v>
      </c>
      <c r="BV17" s="63">
        <f t="shared" ca="1" si="37"/>
        <v>42.068589805198826</v>
      </c>
      <c r="BW17" s="63">
        <f ca="1">SUM($BV$15:BV17)</f>
        <v>99.063520403107304</v>
      </c>
      <c r="BY17" s="52">
        <f ca="1">EXP(-AVERAGE(BO$15:BO17)*BL17)</f>
        <v>0.98766518121969238</v>
      </c>
      <c r="CA17" s="52">
        <f t="shared" ca="1" si="38"/>
        <v>3</v>
      </c>
      <c r="CB17" s="71">
        <f ca="1">EDATE(CB16,1)</f>
        <v>45069</v>
      </c>
      <c r="CC17" s="71">
        <f t="shared" ca="1" si="12"/>
        <v>45100</v>
      </c>
      <c r="CD17" s="72">
        <f t="shared" ca="1" si="13"/>
        <v>31</v>
      </c>
      <c r="CE17" s="73">
        <f ca="1">SUM(CD$15:CD17)/360</f>
        <v>0.25555555555555554</v>
      </c>
      <c r="CF17" s="74">
        <f t="shared" si="14"/>
        <v>25000000</v>
      </c>
      <c r="CG17" s="59">
        <f t="shared" si="40"/>
        <v>0.06</v>
      </c>
      <c r="CH17" s="57">
        <f>Volatilities_Resets!$E6*0.01</f>
        <v>4.8788600000000008E-2</v>
      </c>
      <c r="CI17" s="61">
        <f>IF(CG17=CJ$11,Volatilities_Resets!$AA6,IF(CG17&gt;=CI$11,IF(CG17&lt;CJ$11,(((Volatilities_Resets!$AA6-Volatilities_Resets!$Y6)/50)*((Calculator!CG17-Calculator!CI$11)*10000)+Volatilities_Resets!$Y6)),IF(CG17&gt;=CI$10,IF(CG17&lt;CJ$10,(((Volatilities_Resets!$Y6-Volatilities_Resets!$W6)/50)*((Calculator!CG17-Calculator!CI$10)*10000)+Volatilities_Resets!$W6)),IF(CG17&gt;=CI$9,IF(CG17&lt;CJ$9,(((Volatilities_Resets!$W6-Volatilities_Resets!$U6)/50)*((Calculator!CG17-Calculator!CI$9)*10000)+Volatilities_Resets!$U6)),IF(CG17&gt;=CI$8,IF(CG17&lt;CJ$8,(((Volatilities_Resets!$U6-Volatilities_Resets!$S6)/50)*((Calculator!CG17-Calculator!CI$8)*10000)+Volatilities_Resets!$S6)),IF(CG17&gt;=CI$7,IF(CG17&lt;CJ$7,(((Volatilities_Resets!$S6-Volatilities_Resets!$Q6)/50)*((Calculator!CG17-Calculator!CI$7)*10000)+Volatilities_Resets!$Q6)),IF(CG17&gt;=CI$6,IF(CG17&lt;CJ$6,(((Volatilities_Resets!$Q6-Volatilities_Resets!$O6)/50)*((Calculator!CG17-Calculator!CI$6)*10000)+Volatilities_Resets!$O6)),IF(CG17&gt;=CI$5,IF(CG17&lt;CJ$5,(((Volatilities_Resets!$O6-Volatilities_Resets!$M6)/50)*((Calculator!CG17-Calculator!CI$5)*10000)+Volatilities_Resets!$M6)),IF(CG17&gt;=CI$4,IF(CG17&lt;CJ$4,(((Volatilities_Resets!$M6-Volatilities_Resets!$K6)/50)*((Calculator!CG17-Calculator!CI$4)*10000)+Volatilities_Resets!$K6)),IF(CG17&gt;=CI$3,IF(CG17&lt;CJ$3,(((Volatilities_Resets!$K6-Volatilities_Resets!$I6)/50)*((Calculator!CG17-Calculator!CI$3)*10000)+Volatilities_Resets!$I6)),IF(CG17&gt;=CI$2,IF(CG17&lt;CJ$2,(((Volatilities_Resets!$I6-Volatilities_Resets!$G6)/50)*((Calculator!CG17-Calculator!CI$2)*10000)+Volatilities_Resets!$G6)),"Well, something broke...")))))))))))/10000</f>
        <v>1.8665999999999999E-2</v>
      </c>
      <c r="CJ17" s="63">
        <f t="shared" ca="1" si="41"/>
        <v>1153.2687724052753</v>
      </c>
      <c r="CK17" s="63">
        <f t="shared" ca="1" si="42"/>
        <v>4.6980746866316901E-5</v>
      </c>
      <c r="CL17" s="63">
        <f ca="1">CL16+CJ17</f>
        <v>1760.9083743772132</v>
      </c>
      <c r="CO17" s="63">
        <f t="shared" ca="1" si="43"/>
        <v>20.987785596266114</v>
      </c>
      <c r="CP17" s="63">
        <f ca="1">SUM($CO$15:CO17)</f>
        <v>35.453013723251246</v>
      </c>
      <c r="CR17" s="52">
        <f ca="1">EXP(-AVERAGE(CH$15:CH17)*CE17)</f>
        <v>0.98766518121969238</v>
      </c>
      <c r="CT17"/>
      <c r="CU17"/>
      <c r="CV17"/>
      <c r="CW17"/>
      <c r="CX17"/>
      <c r="CY17"/>
      <c r="CZ17"/>
      <c r="DA17"/>
      <c r="DB17"/>
      <c r="DC17"/>
      <c r="DD17"/>
      <c r="DE17"/>
      <c r="DF17"/>
      <c r="DG17"/>
      <c r="DH17"/>
      <c r="DI17"/>
      <c r="DJ17"/>
      <c r="DK17"/>
      <c r="DL17"/>
    </row>
    <row r="18" spans="2:116" ht="15.75" customHeight="1">
      <c r="B18" s="52">
        <v>1</v>
      </c>
      <c r="C18" s="52">
        <f t="shared" ca="1" si="15"/>
        <v>4</v>
      </c>
      <c r="D18" s="71">
        <f t="shared" ca="1" si="16"/>
        <v>45100</v>
      </c>
      <c r="E18" s="71">
        <f t="shared" ca="1" si="0"/>
        <v>45130</v>
      </c>
      <c r="F18" s="72">
        <f t="shared" ca="1" si="1"/>
        <v>30</v>
      </c>
      <c r="G18" s="73">
        <f ca="1">SUM($F$15:F18)/360</f>
        <v>0.33888888888888891</v>
      </c>
      <c r="H18" s="74">
        <f t="shared" si="2"/>
        <v>25000000</v>
      </c>
      <c r="I18" s="59">
        <f>IF('Cap Pricer'!$E$22=DataValidation!$C$2,'Cap Pricer'!$E$23,IF('Cap Pricer'!$E$22=DataValidation!$C$3,VLOOKUP($B18,'Cap Pricer'!$C$25:$E$31,3),""))</f>
        <v>0.02</v>
      </c>
      <c r="J18" s="57">
        <f>Volatilities_Resets!$E7*0.01</f>
        <v>4.8112300000000004E-2</v>
      </c>
      <c r="K18" s="61">
        <f>IF(I18=L$11,Volatilities_Resets!$AA7,IF(I18&gt;=K$11,IF(I18&lt;L$11,(((Volatilities_Resets!$AA7-Volatilities_Resets!$Y7)/50)*((Calculator!I18-Calculator!K$11)*10000)+Volatilities_Resets!$Y7)),IF(I18&gt;=K$10,IF(I18&lt;L$10,(((Volatilities_Resets!$Y7-Volatilities_Resets!$W7)/50)*((Calculator!I18-Calculator!K$10)*10000)+Volatilities_Resets!$W7)),IF(I18&gt;=K$9,IF(I18&lt;L$9,(((Volatilities_Resets!$W7-Volatilities_Resets!$U7)/50)*((Calculator!I18-Calculator!K$9)*10000)+Volatilities_Resets!$U7)),IF(I18&gt;=K$8,IF(I18&lt;L$8,(((Volatilities_Resets!$U7-Volatilities_Resets!$S7)/50)*((Calculator!I18-Calculator!K$8)*10000)+Volatilities_Resets!$S7)),IF(I18&gt;=K$7,IF(I18&lt;L$7,(((Volatilities_Resets!$S7-Volatilities_Resets!$Q7)/50)*((Calculator!I18-Calculator!K$7)*10000)+Volatilities_Resets!$Q7)),IF(I18&gt;=K$6,IF(I18&lt;L$6,(((Volatilities_Resets!$Q7-Volatilities_Resets!$O7)/50)*((Calculator!I18-Calculator!K$6)*10000)+Volatilities_Resets!$O7)),IF(I18&gt;=K$5,IF(I18&lt;L$5,(((Volatilities_Resets!$O7-Volatilities_Resets!$M7)/50)*((Calculator!I18-Calculator!K$5)*10000)+Volatilities_Resets!$M7)),IF(I18&gt;=K$4,IF(I18&lt;L$4,(((Volatilities_Resets!$M7-Volatilities_Resets!$K7)/50)*((Calculator!I18-Calculator!K$4)*10000)+Volatilities_Resets!$K7)),IF(I18&gt;=K$3,IF(I18&lt;L$3,(((Volatilities_Resets!$K7-Volatilities_Resets!$I7)/50)*((Calculator!I18-Calculator!K$3)*10000)+Volatilities_Resets!$I7)),IF(I18&gt;=K$2,IF(I18&lt;L$2,(((Volatilities_Resets!$I7-Volatilities_Resets!$G7)/50)*((Calculator!I18-Calculator!K$2)*10000)+Volatilities_Resets!$G7)),"Well, something broke...")))))))))))/10000</f>
        <v>2.8991999999999997E-2</v>
      </c>
      <c r="L18" s="47">
        <f t="shared" ca="1" si="17"/>
        <v>58300.875012560042</v>
      </c>
      <c r="M18" s="63">
        <f t="shared" ca="1" si="18"/>
        <v>2.3325127845293635E-3</v>
      </c>
      <c r="N18" s="63">
        <f t="shared" ref="N18:N74" ca="1" si="44">N17+L18</f>
        <v>239642.16500204938</v>
      </c>
      <c r="Q18" s="63">
        <f t="shared" ca="1" si="19"/>
        <v>11.750068833256377</v>
      </c>
      <c r="R18" s="63">
        <f ca="1">SUM($Q$15:Q18)</f>
        <v>20.007611646768115</v>
      </c>
      <c r="T18" s="52">
        <f ca="1">EXP(-AVERAGE(J$15:J18)*G18)</f>
        <v>0.98371382634723781</v>
      </c>
      <c r="U18" s="57"/>
      <c r="V18" s="52">
        <f t="shared" ca="1" si="20"/>
        <v>4</v>
      </c>
      <c r="W18" s="71">
        <f t="shared" ca="1" si="21"/>
        <v>45100</v>
      </c>
      <c r="X18" s="71">
        <f t="shared" ca="1" si="3"/>
        <v>45130</v>
      </c>
      <c r="Y18" s="72">
        <f t="shared" ca="1" si="4"/>
        <v>30</v>
      </c>
      <c r="Z18" s="73">
        <f ca="1">SUM(Y$15:Y18)/360</f>
        <v>0.33888888888888891</v>
      </c>
      <c r="AA18" s="74">
        <f t="shared" si="22"/>
        <v>25000000</v>
      </c>
      <c r="AB18" s="59">
        <f t="shared" si="23"/>
        <v>0.03</v>
      </c>
      <c r="AC18" s="57">
        <f>Volatilities_Resets!$E7*0.01</f>
        <v>4.8112300000000004E-2</v>
      </c>
      <c r="AD18" s="61">
        <f>IF(AB18=AE$11,Volatilities_Resets!$AA7,IF(AB18&gt;=AD$11,IF(AB18&lt;AE$11,(((Volatilities_Resets!$AA7-Volatilities_Resets!$Y7)/50)*((Calculator!AB18-Calculator!AD$11)*10000)+Volatilities_Resets!$Y7)),IF(AB18&gt;=AD$10,IF(AB18&lt;AE$10,(((Volatilities_Resets!$Y7-Volatilities_Resets!$W7)/50)*((Calculator!AB18-Calculator!AD$10)*10000)+Volatilities_Resets!$W7)),IF(AB18&gt;=AD$9,IF(AB18&lt;AE$9,(((Volatilities_Resets!$W7-Volatilities_Resets!$U7)/50)*((Calculator!AB18-Calculator!AD$9)*10000)+Volatilities_Resets!$U7)),IF(AB18&gt;=AD$8,IF(AB18&lt;AE$8,(((Volatilities_Resets!$U7-Volatilities_Resets!$S7)/50)*((Calculator!AB18-Calculator!AD$8)*10000)+Volatilities_Resets!$S7)),IF(AB18&gt;=AD$7,IF(AB18&lt;AE$7,(((Volatilities_Resets!$S7-Volatilities_Resets!$Q7)/50)*((Calculator!AB18-Calculator!AD$7)*10000)+Volatilities_Resets!$Q7)),IF(AB18&gt;=AD$6,IF(AB18&lt;AE$6,(((Volatilities_Resets!$Q7-Volatilities_Resets!$O7)/50)*((Calculator!AB18-Calculator!AD$6)*10000)+Volatilities_Resets!$O7)),IF(AB18&gt;=AD$5,IF(AB18&lt;AE$5,(((Volatilities_Resets!$O7-Volatilities_Resets!$M7)/50)*((Calculator!AB18-Calculator!AD$5)*10000)+Volatilities_Resets!$M7)),IF(AB18&gt;=AD$4,IF(AB18&lt;AE$4,(((Volatilities_Resets!$M7-Volatilities_Resets!$K7)/50)*((Calculator!AB18-Calculator!AD$4)*10000)+Volatilities_Resets!$K7)),IF(AB18&gt;=AD$3,IF(AB18&lt;AE$3,(((Volatilities_Resets!$K7-Volatilities_Resets!$I7)/50)*((Calculator!AB18-Calculator!AD$3)*10000)+Volatilities_Resets!$I7)),IF(AB18&gt;=AD$2,IF(AB18&lt;AE$2,(((Volatilities_Resets!$I7-Volatilities_Resets!$G7)/50)*((Calculator!AB18-Calculator!AD$2)*10000)+Volatilities_Resets!$G7)),"Well, something broke...")))))))))))/10000</f>
        <v>2.6869999999999998E-2</v>
      </c>
      <c r="AE18" s="63">
        <f t="shared" ca="1" si="24"/>
        <v>39078.739555177541</v>
      </c>
      <c r="AF18" s="63">
        <f t="shared" ca="1" si="25"/>
        <v>1.5641258333132495E-3</v>
      </c>
      <c r="AG18" s="63">
        <f t="shared" ref="AG18:AG81" ca="1" si="45">AG17+AE18</f>
        <v>158298.82702661518</v>
      </c>
      <c r="AJ18" s="63">
        <f t="shared" ca="1" si="26"/>
        <v>24.008792777614293</v>
      </c>
      <c r="AK18" s="63">
        <f ca="1">SUM($AJ$15:AJ18)</f>
        <v>50.369684388374409</v>
      </c>
      <c r="AM18" s="52">
        <f ca="1">EXP(-AVERAGE(AC$15:AC18)*Z18)</f>
        <v>0.98371382634723781</v>
      </c>
      <c r="AO18" s="52">
        <f t="shared" ca="1" si="27"/>
        <v>4</v>
      </c>
      <c r="AP18" s="71">
        <f t="shared" ca="1" si="28"/>
        <v>45100</v>
      </c>
      <c r="AQ18" s="71">
        <f t="shared" ca="1" si="5"/>
        <v>45130</v>
      </c>
      <c r="AR18" s="72">
        <f t="shared" ca="1" si="6"/>
        <v>30</v>
      </c>
      <c r="AS18" s="73">
        <f ca="1">SUM(AR$15:AR18)/360</f>
        <v>0.33888888888888891</v>
      </c>
      <c r="AT18" s="74">
        <f t="shared" si="7"/>
        <v>25000000</v>
      </c>
      <c r="AU18" s="59">
        <f t="shared" si="29"/>
        <v>0.04</v>
      </c>
      <c r="AV18" s="57">
        <f>Volatilities_Resets!$E7*0.01</f>
        <v>4.8112300000000004E-2</v>
      </c>
      <c r="AW18" s="61">
        <f>IF(AU18=AX$11,Volatilities_Resets!$AA7,IF(AU18&gt;=AW$11,IF(AU18&lt;AX$11,(((Volatilities_Resets!$AA7-Volatilities_Resets!$Y7)/50)*((Calculator!AU18-Calculator!AW$11)*10000)+Volatilities_Resets!$Y7)),IF(AU18&gt;=AW$10,IF(AU18&lt;AX$10,(((Volatilities_Resets!$Y7-Volatilities_Resets!$W7)/50)*((Calculator!AU18-Calculator!AW$10)*10000)+Volatilities_Resets!$W7)),IF(AU18&gt;=AW$9,IF(AU18&lt;AX$9,(((Volatilities_Resets!$W7-Volatilities_Resets!$U7)/50)*((Calculator!AU18-Calculator!AW$9)*10000)+Volatilities_Resets!$U7)),IF(AU18&gt;=AW$8,IF(AU18&lt;AX$8,(((Volatilities_Resets!$U7-Volatilities_Resets!$S7)/50)*((Calculator!AU18-Calculator!AW$8)*10000)+Volatilities_Resets!$S7)),IF(AU18&gt;=AW$7,IF(AU18&lt;AX$7,(((Volatilities_Resets!$S7-Volatilities_Resets!$Q7)/50)*((Calculator!AU18-Calculator!AW$7)*10000)+Volatilities_Resets!$Q7)),IF(AU18&gt;=AW$6,IF(AU18&lt;AX$6,(((Volatilities_Resets!$Q7-Volatilities_Resets!$O7)/50)*((Calculator!AU18-Calculator!AW$6)*10000)+Volatilities_Resets!$O7)),IF(AU18&gt;=AW$5,IF(AU18&lt;AX$5,(((Volatilities_Resets!$O7-Volatilities_Resets!$M7)/50)*((Calculator!AU18-Calculator!AW$5)*10000)+Volatilities_Resets!$M7)),IF(AU18&gt;=AW$4,IF(AU18&lt;AX$4,(((Volatilities_Resets!$M7-Volatilities_Resets!$K7)/50)*((Calculator!AU18-Calculator!AW$4)*10000)+Volatilities_Resets!$K7)),IF(AU18&gt;=AW$3,IF(AU18&lt;AX$3,(((Volatilities_Resets!$K7-Volatilities_Resets!$I7)/50)*((Calculator!AU18-Calculator!AW$3)*10000)+Volatilities_Resets!$I7)),IF(AU18&gt;=AW$2,IF(AU18&lt;AX$2,(((Volatilities_Resets!$I7-Volatilities_Resets!$G7)/50)*((Calculator!AU18-Calculator!AW$2)*10000)+Volatilities_Resets!$G7)),"Well, something broke...")))))))))))/10000</f>
        <v>2.3737000000000001E-2</v>
      </c>
      <c r="AX18" s="63">
        <f t="shared" ca="1" si="30"/>
        <v>21503.284572406632</v>
      </c>
      <c r="AY18" s="63">
        <f t="shared" ca="1" si="31"/>
        <v>8.6173499874699305E-4</v>
      </c>
      <c r="AZ18" s="63">
        <f t="shared" ref="AZ18:AZ81" ca="1" si="46">AZ17+AX18</f>
        <v>82224.904600409325</v>
      </c>
      <c r="BC18" s="63">
        <f t="shared" ca="1" si="8"/>
        <v>39.43747711276346</v>
      </c>
      <c r="BD18" s="63">
        <f ca="1">SUM($BC$15:BC18)</f>
        <v>107.4488702049603</v>
      </c>
      <c r="BF18" s="52">
        <f ca="1">EXP(-AVERAGE(AV$15:AV18)*AS18)</f>
        <v>0.98371382634723781</v>
      </c>
      <c r="BH18" s="52">
        <f t="shared" ca="1" si="32"/>
        <v>4</v>
      </c>
      <c r="BI18" s="71">
        <f t="shared" ca="1" si="33"/>
        <v>45100</v>
      </c>
      <c r="BJ18" s="71">
        <f t="shared" ca="1" si="9"/>
        <v>45130</v>
      </c>
      <c r="BK18" s="72">
        <f t="shared" ca="1" si="10"/>
        <v>30</v>
      </c>
      <c r="BL18" s="73">
        <f ca="1">SUM(BK$15:BK18)/360</f>
        <v>0.33888888888888891</v>
      </c>
      <c r="BM18" s="74">
        <f t="shared" si="11"/>
        <v>25000000</v>
      </c>
      <c r="BN18" s="59">
        <f t="shared" si="34"/>
        <v>0.05</v>
      </c>
      <c r="BO18" s="57">
        <f>Volatilities_Resets!$E7*0.01</f>
        <v>4.8112300000000004E-2</v>
      </c>
      <c r="BP18" s="61">
        <f>IF(BN18=BQ$11,Volatilities_Resets!$AA7,IF(BN18&gt;=BP$11,IF(BN18&lt;BQ$11,(((Volatilities_Resets!$AA7-Volatilities_Resets!$Y7)/50)*((Calculator!BN18-Calculator!BP$11)*10000)+Volatilities_Resets!$Y7)),IF(BN18&gt;=BP$10,IF(BN18&lt;BQ$10,(((Volatilities_Resets!$Y7-Volatilities_Resets!$W7)/50)*((Calculator!BN18-Calculator!BP$10)*10000)+Volatilities_Resets!$W7)),IF(BN18&gt;=BP$9,IF(BN18&lt;BQ$9,(((Volatilities_Resets!$W7-Volatilities_Resets!$U7)/50)*((Calculator!BN18-Calculator!BP$9)*10000)+Volatilities_Resets!$U7)),IF(BN18&gt;=BP$8,IF(BN18&lt;BQ$8,(((Volatilities_Resets!$U7-Volatilities_Resets!$S7)/50)*((Calculator!BN18-Calculator!BP$8)*10000)+Volatilities_Resets!$S7)),IF(BN18&gt;=BP$7,IF(BN18&lt;BQ$7,(((Volatilities_Resets!$S7-Volatilities_Resets!$Q7)/50)*((Calculator!BN18-Calculator!BP$7)*10000)+Volatilities_Resets!$Q7)),IF(BN18&gt;=BP$6,IF(BN18&lt;BQ$6,(((Volatilities_Resets!$Q7-Volatilities_Resets!$O7)/50)*((Calculator!BN18-Calculator!BP$6)*10000)+Volatilities_Resets!$O7)),IF(BN18&gt;=BP$5,IF(BN18&lt;BQ$5,(((Volatilities_Resets!$O7-Volatilities_Resets!$M7)/50)*((Calculator!BN18-Calculator!BP$5)*10000)+Volatilities_Resets!$M7)),IF(BN18&gt;=BP$4,IF(BN18&lt;BQ$4,(((Volatilities_Resets!$M7-Volatilities_Resets!$K7)/50)*((Calculator!BN18-Calculator!BP$4)*10000)+Volatilities_Resets!$K7)),IF(BN18&gt;=BP$3,IF(BN18&lt;BQ$3,(((Volatilities_Resets!$K7-Volatilities_Resets!$I7)/50)*((Calculator!BN18-Calculator!BP$3)*10000)+Volatilities_Resets!$I7)),IF(BN18&gt;=BP$2,IF(BN18&lt;BQ$2,(((Volatilities_Resets!$I7-Volatilities_Resets!$G7)/50)*((Calculator!BN18-Calculator!BP$2)*10000)+Volatilities_Resets!$G7)),"Well, something broke...")))))))))))/10000</f>
        <v>2.0485E-2</v>
      </c>
      <c r="BQ18" s="63">
        <f t="shared" ca="1" si="35"/>
        <v>7937.5167338772808</v>
      </c>
      <c r="BR18" s="63">
        <f t="shared" ca="1" si="36"/>
        <v>3.1938090178642502E-4</v>
      </c>
      <c r="BS18" s="63">
        <f t="shared" ref="BS18:BS81" ca="1" si="47">BS17+BQ18</f>
        <v>24849.430624729503</v>
      </c>
      <c r="BV18" s="63">
        <f t="shared" ca="1" si="37"/>
        <v>46.2402659862382</v>
      </c>
      <c r="BW18" s="63">
        <f ca="1">SUM($BV$15:BV18)</f>
        <v>145.3037863893455</v>
      </c>
      <c r="BY18" s="52">
        <f ca="1">EXP(-AVERAGE(BO$15:BO18)*BL18)</f>
        <v>0.98371382634723781</v>
      </c>
      <c r="CA18" s="52">
        <f t="shared" ca="1" si="38"/>
        <v>4</v>
      </c>
      <c r="CB18" s="71">
        <f t="shared" ca="1" si="39"/>
        <v>45100</v>
      </c>
      <c r="CC18" s="71">
        <f t="shared" ca="1" si="12"/>
        <v>45130</v>
      </c>
      <c r="CD18" s="72">
        <f t="shared" ca="1" si="13"/>
        <v>30</v>
      </c>
      <c r="CE18" s="73">
        <f ca="1">SUM(CD$15:CD18)/360</f>
        <v>0.33888888888888891</v>
      </c>
      <c r="CF18" s="74">
        <f t="shared" si="14"/>
        <v>25000000</v>
      </c>
      <c r="CG18" s="59">
        <f t="shared" si="40"/>
        <v>0.06</v>
      </c>
      <c r="CH18" s="57">
        <f>Volatilities_Resets!$E7*0.01</f>
        <v>4.8112300000000004E-2</v>
      </c>
      <c r="CI18" s="61">
        <f>IF(CG18=CJ$11,Volatilities_Resets!$AA7,IF(CG18&gt;=CI$11,IF(CG18&lt;CJ$11,(((Volatilities_Resets!$AA7-Volatilities_Resets!$Y7)/50)*((Calculator!CG18-Calculator!CI$11)*10000)+Volatilities_Resets!$Y7)),IF(CG18&gt;=CI$10,IF(CG18&lt;CJ$10,(((Volatilities_Resets!$Y7-Volatilities_Resets!$W7)/50)*((Calculator!CG18-Calculator!CI$10)*10000)+Volatilities_Resets!$W7)),IF(CG18&gt;=CI$9,IF(CG18&lt;CJ$9,(((Volatilities_Resets!$W7-Volatilities_Resets!$U7)/50)*((Calculator!CG18-Calculator!CI$9)*10000)+Volatilities_Resets!$U7)),IF(CG18&gt;=CI$8,IF(CG18&lt;CJ$8,(((Volatilities_Resets!$U7-Volatilities_Resets!$S7)/50)*((Calculator!CG18-Calculator!CI$8)*10000)+Volatilities_Resets!$S7)),IF(CG18&gt;=CI$7,IF(CG18&lt;CJ$7,(((Volatilities_Resets!$S7-Volatilities_Resets!$Q7)/50)*((Calculator!CG18-Calculator!CI$7)*10000)+Volatilities_Resets!$Q7)),IF(CG18&gt;=CI$6,IF(CG18&lt;CJ$6,(((Volatilities_Resets!$Q7-Volatilities_Resets!$O7)/50)*((Calculator!CG18-Calculator!CI$6)*10000)+Volatilities_Resets!$O7)),IF(CG18&gt;=CI$5,IF(CG18&lt;CJ$5,(((Volatilities_Resets!$O7-Volatilities_Resets!$M7)/50)*((Calculator!CG18-Calculator!CI$5)*10000)+Volatilities_Resets!$M7)),IF(CG18&gt;=CI$4,IF(CG18&lt;CJ$4,(((Volatilities_Resets!$M7-Volatilities_Resets!$K7)/50)*((Calculator!CG18-Calculator!CI$4)*10000)+Volatilities_Resets!$K7)),IF(CG18&gt;=CI$3,IF(CG18&lt;CJ$3,(((Volatilities_Resets!$K7-Volatilities_Resets!$I7)/50)*((Calculator!CG18-Calculator!CI$3)*10000)+Volatilities_Resets!$I7)),IF(CG18&gt;=CI$2,IF(CG18&lt;CJ$2,(((Volatilities_Resets!$I7-Volatilities_Resets!$G7)/50)*((Calculator!CG18-Calculator!CI$2)*10000)+Volatilities_Resets!$G7)),"Well, something broke...")))))))))))/10000</f>
        <v>1.8540999999999998E-2</v>
      </c>
      <c r="CJ18" s="63">
        <f t="shared" ca="1" si="41"/>
        <v>1513.7504883575659</v>
      </c>
      <c r="CK18" s="63">
        <f t="shared" ca="1" si="42"/>
        <v>6.1591458095002849E-5</v>
      </c>
      <c r="CL18" s="63">
        <f t="shared" ref="CL18:CL81" ca="1" si="48">CL17+CJ18</f>
        <v>3274.6588627347792</v>
      </c>
      <c r="CO18" s="63">
        <f t="shared" ca="1" si="43"/>
        <v>25.611937786299151</v>
      </c>
      <c r="CP18" s="63">
        <f ca="1">SUM($CO$15:CO18)</f>
        <v>61.064951509550397</v>
      </c>
      <c r="CR18" s="52">
        <f ca="1">EXP(-AVERAGE(CH$15:CH18)*CE18)</f>
        <v>0.98371382634723781</v>
      </c>
      <c r="CT18"/>
      <c r="CU18"/>
      <c r="CV18"/>
      <c r="CW18"/>
      <c r="CX18"/>
      <c r="CY18"/>
      <c r="CZ18"/>
      <c r="DA18"/>
      <c r="DB18"/>
      <c r="DC18"/>
      <c r="DD18"/>
      <c r="DE18"/>
      <c r="DF18"/>
      <c r="DG18"/>
      <c r="DH18"/>
      <c r="DI18"/>
      <c r="DJ18"/>
      <c r="DK18"/>
      <c r="DL18"/>
    </row>
    <row r="19" spans="2:116" ht="15.75" customHeight="1">
      <c r="B19" s="52">
        <v>1</v>
      </c>
      <c r="C19" s="52">
        <f t="shared" ca="1" si="15"/>
        <v>5</v>
      </c>
      <c r="D19" s="71">
        <f t="shared" ca="1" si="16"/>
        <v>45130</v>
      </c>
      <c r="E19" s="71">
        <f t="shared" ca="1" si="0"/>
        <v>45161</v>
      </c>
      <c r="F19" s="72">
        <f t="shared" ca="1" si="1"/>
        <v>31</v>
      </c>
      <c r="G19" s="73">
        <f ca="1">SUM($F$15:F19)/360</f>
        <v>0.42499999999999999</v>
      </c>
      <c r="H19" s="74">
        <f t="shared" si="2"/>
        <v>25000000</v>
      </c>
      <c r="I19" s="59">
        <f>IF('Cap Pricer'!$E$22=DataValidation!$C$2,'Cap Pricer'!$E$23,IF('Cap Pricer'!$E$22=DataValidation!$C$3,VLOOKUP($B19,'Cap Pricer'!$C$25:$E$31,3),""))</f>
        <v>0.02</v>
      </c>
      <c r="J19" s="57">
        <f>Volatilities_Resets!$E8*0.01</f>
        <v>4.5924199999999998E-2</v>
      </c>
      <c r="K19" s="61">
        <f>IF(I19=L$11,Volatilities_Resets!$AA8,IF(I19&gt;=K$11,IF(I19&lt;L$11,(((Volatilities_Resets!$AA8-Volatilities_Resets!$Y8)/50)*((Calculator!I19-Calculator!K$11)*10000)+Volatilities_Resets!$Y8)),IF(I19&gt;=K$10,IF(I19&lt;L$10,(((Volatilities_Resets!$Y8-Volatilities_Resets!$W8)/50)*((Calculator!I19-Calculator!K$10)*10000)+Volatilities_Resets!$W8)),IF(I19&gt;=K$9,IF(I19&lt;L$9,(((Volatilities_Resets!$W8-Volatilities_Resets!$U8)/50)*((Calculator!I19-Calculator!K$9)*10000)+Volatilities_Resets!$U8)),IF(I19&gt;=K$8,IF(I19&lt;L$8,(((Volatilities_Resets!$U8-Volatilities_Resets!$S8)/50)*((Calculator!I19-Calculator!K$8)*10000)+Volatilities_Resets!$S8)),IF(I19&gt;=K$7,IF(I19&lt;L$7,(((Volatilities_Resets!$S8-Volatilities_Resets!$Q8)/50)*((Calculator!I19-Calculator!K$7)*10000)+Volatilities_Resets!$Q8)),IF(I19&gt;=K$6,IF(I19&lt;L$6,(((Volatilities_Resets!$Q8-Volatilities_Resets!$O8)/50)*((Calculator!I19-Calculator!K$6)*10000)+Volatilities_Resets!$O8)),IF(I19&gt;=K$5,IF(I19&lt;L$5,(((Volatilities_Resets!$O8-Volatilities_Resets!$M8)/50)*((Calculator!I19-Calculator!K$5)*10000)+Volatilities_Resets!$M8)),IF(I19&gt;=K$4,IF(I19&lt;L$4,(((Volatilities_Resets!$M8-Volatilities_Resets!$K8)/50)*((Calculator!I19-Calculator!K$4)*10000)+Volatilities_Resets!$K8)),IF(I19&gt;=K$3,IF(I19&lt;L$3,(((Volatilities_Resets!$K8-Volatilities_Resets!$I8)/50)*((Calculator!I19-Calculator!K$3)*10000)+Volatilities_Resets!$I8)),IF(I19&gt;=K$2,IF(I19&lt;L$2,(((Volatilities_Resets!$I8-Volatilities_Resets!$G8)/50)*((Calculator!I19-Calculator!K$2)*10000)+Volatilities_Resets!$G8)),"Well, something broke...")))))))))))/10000</f>
        <v>2.9075999999999998E-2</v>
      </c>
      <c r="L19" s="47">
        <f t="shared" ca="1" si="17"/>
        <v>56257.028333948998</v>
      </c>
      <c r="M19" s="63">
        <f t="shared" ca="1" si="18"/>
        <v>2.2511451809882023E-3</v>
      </c>
      <c r="N19" s="63">
        <f t="shared" ca="1" si="44"/>
        <v>295899.1933359984</v>
      </c>
      <c r="Q19" s="63">
        <f t="shared" ca="1" si="19"/>
        <v>21.165463979836243</v>
      </c>
      <c r="R19" s="63">
        <f ca="1">SUM($Q$15:Q19)</f>
        <v>41.173075626604358</v>
      </c>
      <c r="T19" s="52">
        <f ca="1">EXP(-AVERAGE(J$15:J19)*G19)</f>
        <v>0.97982857606585916</v>
      </c>
      <c r="U19" s="57"/>
      <c r="V19" s="52">
        <f t="shared" ca="1" si="20"/>
        <v>5</v>
      </c>
      <c r="W19" s="71">
        <f t="shared" ca="1" si="21"/>
        <v>45130</v>
      </c>
      <c r="X19" s="71">
        <f t="shared" ca="1" si="3"/>
        <v>45161</v>
      </c>
      <c r="Y19" s="72">
        <f t="shared" ca="1" si="4"/>
        <v>31</v>
      </c>
      <c r="Z19" s="73">
        <f ca="1">SUM(Y$15:Y19)/360</f>
        <v>0.42499999999999999</v>
      </c>
      <c r="AA19" s="74">
        <f t="shared" si="22"/>
        <v>25000000</v>
      </c>
      <c r="AB19" s="59">
        <f t="shared" si="23"/>
        <v>0.03</v>
      </c>
      <c r="AC19" s="57">
        <f>Volatilities_Resets!$E8*0.01</f>
        <v>4.5924199999999998E-2</v>
      </c>
      <c r="AD19" s="61">
        <f>IF(AB19=AE$11,Volatilities_Resets!$AA8,IF(AB19&gt;=AD$11,IF(AB19&lt;AE$11,(((Volatilities_Resets!$AA8-Volatilities_Resets!$Y8)/50)*((Calculator!AB19-Calculator!AD$11)*10000)+Volatilities_Resets!$Y8)),IF(AB19&gt;=AD$10,IF(AB19&lt;AE$10,(((Volatilities_Resets!$Y8-Volatilities_Resets!$W8)/50)*((Calculator!AB19-Calculator!AD$10)*10000)+Volatilities_Resets!$W8)),IF(AB19&gt;=AD$9,IF(AB19&lt;AE$9,(((Volatilities_Resets!$W8-Volatilities_Resets!$U8)/50)*((Calculator!AB19-Calculator!AD$9)*10000)+Volatilities_Resets!$U8)),IF(AB19&gt;=AD$8,IF(AB19&lt;AE$8,(((Volatilities_Resets!$U8-Volatilities_Resets!$S8)/50)*((Calculator!AB19-Calculator!AD$8)*10000)+Volatilities_Resets!$S8)),IF(AB19&gt;=AD$7,IF(AB19&lt;AE$7,(((Volatilities_Resets!$S8-Volatilities_Resets!$Q8)/50)*((Calculator!AB19-Calculator!AD$7)*10000)+Volatilities_Resets!$Q8)),IF(AB19&gt;=AD$6,IF(AB19&lt;AE$6,(((Volatilities_Resets!$Q8-Volatilities_Resets!$O8)/50)*((Calculator!AB19-Calculator!AD$6)*10000)+Volatilities_Resets!$O8)),IF(AB19&gt;=AD$5,IF(AB19&lt;AE$5,(((Volatilities_Resets!$O8-Volatilities_Resets!$M8)/50)*((Calculator!AB19-Calculator!AD$5)*10000)+Volatilities_Resets!$M8)),IF(AB19&gt;=AD$4,IF(AB19&lt;AE$4,(((Volatilities_Resets!$M8-Volatilities_Resets!$K8)/50)*((Calculator!AB19-Calculator!AD$4)*10000)+Volatilities_Resets!$K8)),IF(AB19&gt;=AD$3,IF(AB19&lt;AE$3,(((Volatilities_Resets!$K8-Volatilities_Resets!$I8)/50)*((Calculator!AB19-Calculator!AD$3)*10000)+Volatilities_Resets!$I8)),IF(AB19&gt;=AD$2,IF(AB19&lt;AE$2,(((Volatilities_Resets!$I8-Volatilities_Resets!$G8)/50)*((Calculator!AB19-Calculator!AD$2)*10000)+Volatilities_Resets!$G8)),"Well, something broke...")))))))))))/10000</f>
        <v>2.6943999999999999E-2</v>
      </c>
      <c r="AE19" s="63">
        <f t="shared" ca="1" si="24"/>
        <v>37266.297120107512</v>
      </c>
      <c r="AF19" s="63">
        <f t="shared" ca="1" si="25"/>
        <v>1.4921090456420352E-3</v>
      </c>
      <c r="AG19" s="63">
        <f t="shared" ca="1" si="45"/>
        <v>195565.12414672269</v>
      </c>
      <c r="AJ19" s="63">
        <f t="shared" ca="1" si="26"/>
        <v>35.694195718412843</v>
      </c>
      <c r="AK19" s="63">
        <f ca="1">SUM($AJ$15:AJ19)</f>
        <v>86.063880106787252</v>
      </c>
      <c r="AM19" s="52">
        <f ca="1">EXP(-AVERAGE(AC$15:AC19)*Z19)</f>
        <v>0.97982857606585916</v>
      </c>
      <c r="AO19" s="52">
        <f t="shared" ca="1" si="27"/>
        <v>5</v>
      </c>
      <c r="AP19" s="71">
        <f t="shared" ca="1" si="28"/>
        <v>45130</v>
      </c>
      <c r="AQ19" s="71">
        <f t="shared" ca="1" si="5"/>
        <v>45161</v>
      </c>
      <c r="AR19" s="72">
        <f t="shared" ca="1" si="6"/>
        <v>31</v>
      </c>
      <c r="AS19" s="73">
        <f ca="1">SUM(AR$15:AR19)/360</f>
        <v>0.42499999999999999</v>
      </c>
      <c r="AT19" s="74">
        <f t="shared" si="7"/>
        <v>25000000</v>
      </c>
      <c r="AU19" s="59">
        <f t="shared" si="29"/>
        <v>0.04</v>
      </c>
      <c r="AV19" s="57">
        <f>Volatilities_Resets!$E8*0.01</f>
        <v>4.5924199999999998E-2</v>
      </c>
      <c r="AW19" s="61">
        <f>IF(AU19=AX$11,Volatilities_Resets!$AA8,IF(AU19&gt;=AW$11,IF(AU19&lt;AX$11,(((Volatilities_Resets!$AA8-Volatilities_Resets!$Y8)/50)*((Calculator!AU19-Calculator!AW$11)*10000)+Volatilities_Resets!$Y8)),IF(AU19&gt;=AW$10,IF(AU19&lt;AX$10,(((Volatilities_Resets!$Y8-Volatilities_Resets!$W8)/50)*((Calculator!AU19-Calculator!AW$10)*10000)+Volatilities_Resets!$W8)),IF(AU19&gt;=AW$9,IF(AU19&lt;AX$9,(((Volatilities_Resets!$W8-Volatilities_Resets!$U8)/50)*((Calculator!AU19-Calculator!AW$9)*10000)+Volatilities_Resets!$U8)),IF(AU19&gt;=AW$8,IF(AU19&lt;AX$8,(((Volatilities_Resets!$U8-Volatilities_Resets!$S8)/50)*((Calculator!AU19-Calculator!AW$8)*10000)+Volatilities_Resets!$S8)),IF(AU19&gt;=AW$7,IF(AU19&lt;AX$7,(((Volatilities_Resets!$S8-Volatilities_Resets!$Q8)/50)*((Calculator!AU19-Calculator!AW$7)*10000)+Volatilities_Resets!$Q8)),IF(AU19&gt;=AW$6,IF(AU19&lt;AX$6,(((Volatilities_Resets!$Q8-Volatilities_Resets!$O8)/50)*((Calculator!AU19-Calculator!AW$6)*10000)+Volatilities_Resets!$O8)),IF(AU19&gt;=AW$5,IF(AU19&lt;AX$5,(((Volatilities_Resets!$O8-Volatilities_Resets!$M8)/50)*((Calculator!AU19-Calculator!AW$5)*10000)+Volatilities_Resets!$M8)),IF(AU19&gt;=AW$4,IF(AU19&lt;AX$4,(((Volatilities_Resets!$M8-Volatilities_Resets!$K8)/50)*((Calculator!AU19-Calculator!AW$4)*10000)+Volatilities_Resets!$K8)),IF(AU19&gt;=AW$3,IF(AU19&lt;AX$3,(((Volatilities_Resets!$K8-Volatilities_Resets!$I8)/50)*((Calculator!AU19-Calculator!AW$3)*10000)+Volatilities_Resets!$I8)),IF(AU19&gt;=AW$2,IF(AU19&lt;AX$2,(((Volatilities_Resets!$I8-Volatilities_Resets!$G8)/50)*((Calculator!AU19-Calculator!AW$2)*10000)+Volatilities_Resets!$G8)),"Well, something broke...")))))))))))/10000</f>
        <v>2.3793999999999999E-2</v>
      </c>
      <c r="AX19" s="63">
        <f t="shared" ca="1" si="30"/>
        <v>20242.017520831676</v>
      </c>
      <c r="AY19" s="63">
        <f t="shared" ca="1" si="31"/>
        <v>8.1172137345428947E-4</v>
      </c>
      <c r="AZ19" s="63">
        <f t="shared" ca="1" si="46"/>
        <v>102466.922121241</v>
      </c>
      <c r="BC19" s="63">
        <f t="shared" ca="1" si="8"/>
        <v>49.98773371182368</v>
      </c>
      <c r="BD19" s="63">
        <f ca="1">SUM($BC$15:BC19)</f>
        <v>157.43660391678398</v>
      </c>
      <c r="BF19" s="52">
        <f ca="1">EXP(-AVERAGE(AV$15:AV19)*AS19)</f>
        <v>0.97982857606585916</v>
      </c>
      <c r="BH19" s="52">
        <f t="shared" ca="1" si="32"/>
        <v>5</v>
      </c>
      <c r="BI19" s="71">
        <f t="shared" ca="1" si="33"/>
        <v>45130</v>
      </c>
      <c r="BJ19" s="71">
        <f t="shared" ca="1" si="9"/>
        <v>45161</v>
      </c>
      <c r="BK19" s="72">
        <f t="shared" ca="1" si="10"/>
        <v>31</v>
      </c>
      <c r="BL19" s="73">
        <f ca="1">SUM(BK$15:BK19)/360</f>
        <v>0.42499999999999999</v>
      </c>
      <c r="BM19" s="74">
        <f t="shared" si="11"/>
        <v>25000000</v>
      </c>
      <c r="BN19" s="59">
        <f t="shared" si="34"/>
        <v>0.05</v>
      </c>
      <c r="BO19" s="57">
        <f>Volatilities_Resets!$E8*0.01</f>
        <v>4.5924199999999998E-2</v>
      </c>
      <c r="BP19" s="61">
        <f>IF(BN19=BQ$11,Volatilities_Resets!$AA8,IF(BN19&gt;=BP$11,IF(BN19&lt;BQ$11,(((Volatilities_Resets!$AA8-Volatilities_Resets!$Y8)/50)*((Calculator!BN19-Calculator!BP$11)*10000)+Volatilities_Resets!$Y8)),IF(BN19&gt;=BP$10,IF(BN19&lt;BQ$10,(((Volatilities_Resets!$Y8-Volatilities_Resets!$W8)/50)*((Calculator!BN19-Calculator!BP$10)*10000)+Volatilities_Resets!$W8)),IF(BN19&gt;=BP$9,IF(BN19&lt;BQ$9,(((Volatilities_Resets!$W8-Volatilities_Resets!$U8)/50)*((Calculator!BN19-Calculator!BP$9)*10000)+Volatilities_Resets!$U8)),IF(BN19&gt;=BP$8,IF(BN19&lt;BQ$8,(((Volatilities_Resets!$U8-Volatilities_Resets!$S8)/50)*((Calculator!BN19-Calculator!BP$8)*10000)+Volatilities_Resets!$S8)),IF(BN19&gt;=BP$7,IF(BN19&lt;BQ$7,(((Volatilities_Resets!$S8-Volatilities_Resets!$Q8)/50)*((Calculator!BN19-Calculator!BP$7)*10000)+Volatilities_Resets!$Q8)),IF(BN19&gt;=BP$6,IF(BN19&lt;BQ$6,(((Volatilities_Resets!$Q8-Volatilities_Resets!$O8)/50)*((Calculator!BN19-Calculator!BP$6)*10000)+Volatilities_Resets!$O8)),IF(BN19&gt;=BP$5,IF(BN19&lt;BQ$5,(((Volatilities_Resets!$O8-Volatilities_Resets!$M8)/50)*((Calculator!BN19-Calculator!BP$5)*10000)+Volatilities_Resets!$M8)),IF(BN19&gt;=BP$4,IF(BN19&lt;BQ$4,(((Volatilities_Resets!$M8-Volatilities_Resets!$K8)/50)*((Calculator!BN19-Calculator!BP$4)*10000)+Volatilities_Resets!$K8)),IF(BN19&gt;=BP$3,IF(BN19&lt;BQ$3,(((Volatilities_Resets!$K8-Volatilities_Resets!$I8)/50)*((Calculator!BN19-Calculator!BP$3)*10000)+Volatilities_Resets!$I8)),IF(BN19&gt;=BP$2,IF(BN19&lt;BQ$2,(((Volatilities_Resets!$I8-Volatilities_Resets!$G8)/50)*((Calculator!BN19-Calculator!BP$2)*10000)+Volatilities_Resets!$G8)),"Well, something broke...")))))))))))/10000</f>
        <v>2.0518999999999999E-2</v>
      </c>
      <c r="BQ19" s="63">
        <f t="shared" ca="1" si="35"/>
        <v>7476.5380795821111</v>
      </c>
      <c r="BR19" s="63">
        <f t="shared" ca="1" si="36"/>
        <v>3.0115685181541905E-4</v>
      </c>
      <c r="BS19" s="63">
        <f t="shared" ca="1" si="47"/>
        <v>32325.968704311614</v>
      </c>
      <c r="BV19" s="63">
        <f t="shared" ca="1" si="37"/>
        <v>51.3265717503619</v>
      </c>
      <c r="BW19" s="63">
        <f ca="1">SUM($BV$15:BV19)</f>
        <v>196.6303581397074</v>
      </c>
      <c r="BY19" s="52">
        <f ca="1">EXP(-AVERAGE(BO$15:BO19)*BL19)</f>
        <v>0.97982857606585916</v>
      </c>
      <c r="CA19" s="52">
        <f t="shared" ca="1" si="38"/>
        <v>5</v>
      </c>
      <c r="CB19" s="71">
        <f t="shared" ca="1" si="39"/>
        <v>45130</v>
      </c>
      <c r="CC19" s="71">
        <f t="shared" ca="1" si="12"/>
        <v>45161</v>
      </c>
      <c r="CD19" s="72">
        <f t="shared" ca="1" si="13"/>
        <v>31</v>
      </c>
      <c r="CE19" s="73">
        <f ca="1">SUM(CD$15:CD19)/360</f>
        <v>0.42499999999999999</v>
      </c>
      <c r="CF19" s="74">
        <f t="shared" si="14"/>
        <v>25000000</v>
      </c>
      <c r="CG19" s="59">
        <f t="shared" si="40"/>
        <v>0.06</v>
      </c>
      <c r="CH19" s="57">
        <f>Volatilities_Resets!$E8*0.01</f>
        <v>4.5924199999999998E-2</v>
      </c>
      <c r="CI19" s="61">
        <f>IF(CG19=CJ$11,Volatilities_Resets!$AA8,IF(CG19&gt;=CI$11,IF(CG19&lt;CJ$11,(((Volatilities_Resets!$AA8-Volatilities_Resets!$Y8)/50)*((Calculator!CG19-Calculator!CI$11)*10000)+Volatilities_Resets!$Y8)),IF(CG19&gt;=CI$10,IF(CG19&lt;CJ$10,(((Volatilities_Resets!$Y8-Volatilities_Resets!$W8)/50)*((Calculator!CG19-Calculator!CI$10)*10000)+Volatilities_Resets!$W8)),IF(CG19&gt;=CI$9,IF(CG19&lt;CJ$9,(((Volatilities_Resets!$W8-Volatilities_Resets!$U8)/50)*((Calculator!CG19-Calculator!CI$9)*10000)+Volatilities_Resets!$U8)),IF(CG19&gt;=CI$8,IF(CG19&lt;CJ$8,(((Volatilities_Resets!$U8-Volatilities_Resets!$S8)/50)*((Calculator!CG19-Calculator!CI$8)*10000)+Volatilities_Resets!$S8)),IF(CG19&gt;=CI$7,IF(CG19&lt;CJ$7,(((Volatilities_Resets!$S8-Volatilities_Resets!$Q8)/50)*((Calculator!CG19-Calculator!CI$7)*10000)+Volatilities_Resets!$Q8)),IF(CG19&gt;=CI$6,IF(CG19&lt;CJ$6,(((Volatilities_Resets!$Q8-Volatilities_Resets!$O8)/50)*((Calculator!CG19-Calculator!CI$6)*10000)+Volatilities_Resets!$O8)),IF(CG19&gt;=CI$5,IF(CG19&lt;CJ$5,(((Volatilities_Resets!$O8-Volatilities_Resets!$M8)/50)*((Calculator!CG19-Calculator!CI$5)*10000)+Volatilities_Resets!$M8)),IF(CG19&gt;=CI$4,IF(CG19&lt;CJ$4,(((Volatilities_Resets!$M8-Volatilities_Resets!$K8)/50)*((Calculator!CG19-Calculator!CI$4)*10000)+Volatilities_Resets!$K8)),IF(CG19&gt;=CI$3,IF(CG19&lt;CJ$3,(((Volatilities_Resets!$K8-Volatilities_Resets!$I8)/50)*((Calculator!CG19-Calculator!CI$3)*10000)+Volatilities_Resets!$I8)),IF(CG19&gt;=CI$2,IF(CG19&lt;CJ$2,(((Volatilities_Resets!$I8-Volatilities_Resets!$G8)/50)*((Calculator!CG19-Calculator!CI$2)*10000)+Volatilities_Resets!$G8)),"Well, something broke...")))))))))))/10000</f>
        <v>1.8547000000000001E-2</v>
      </c>
      <c r="CJ19" s="63">
        <f t="shared" ca="1" si="41"/>
        <v>1539.3412912664651</v>
      </c>
      <c r="CK19" s="63">
        <f t="shared" ca="1" si="42"/>
        <v>6.2692086267296531E-5</v>
      </c>
      <c r="CL19" s="63">
        <f t="shared" ca="1" si="48"/>
        <v>4814.0001540012445</v>
      </c>
      <c r="CO19" s="63">
        <f t="shared" ca="1" si="43"/>
        <v>27.396854946077571</v>
      </c>
      <c r="CP19" s="63">
        <f ca="1">SUM($CO$15:CO19)</f>
        <v>88.461806455627965</v>
      </c>
      <c r="CR19" s="52">
        <f ca="1">EXP(-AVERAGE(CH$15:CH19)*CE19)</f>
        <v>0.97982857606585916</v>
      </c>
      <c r="CT19"/>
      <c r="CU19"/>
      <c r="CV19"/>
      <c r="CW19"/>
      <c r="CX19"/>
      <c r="CY19"/>
      <c r="CZ19"/>
      <c r="DA19"/>
      <c r="DB19"/>
      <c r="DC19"/>
      <c r="DD19"/>
      <c r="DE19"/>
      <c r="DF19"/>
      <c r="DG19"/>
      <c r="DH19"/>
      <c r="DI19"/>
      <c r="DJ19"/>
      <c r="DK19"/>
      <c r="DL19"/>
    </row>
    <row r="20" spans="2:116" ht="15.75" customHeight="1">
      <c r="B20" s="52">
        <v>1</v>
      </c>
      <c r="C20" s="52">
        <f t="shared" ca="1" si="15"/>
        <v>6</v>
      </c>
      <c r="D20" s="71">
        <f t="shared" ca="1" si="16"/>
        <v>45161</v>
      </c>
      <c r="E20" s="71">
        <f t="shared" ca="1" si="0"/>
        <v>45192</v>
      </c>
      <c r="F20" s="72">
        <f t="shared" ca="1" si="1"/>
        <v>31</v>
      </c>
      <c r="G20" s="73">
        <f ca="1">SUM($F$15:F20)/360</f>
        <v>0.51111111111111107</v>
      </c>
      <c r="H20" s="74">
        <f t="shared" si="2"/>
        <v>25000000</v>
      </c>
      <c r="I20" s="59">
        <f>IF('Cap Pricer'!$E$22=DataValidation!$C$2,'Cap Pricer'!$E$23,IF('Cap Pricer'!$E$22=DataValidation!$C$3,VLOOKUP($B20,'Cap Pricer'!$C$25:$E$31,3),""))</f>
        <v>0.02</v>
      </c>
      <c r="J20" s="57">
        <f>Volatilities_Resets!$E9*0.01</f>
        <v>4.5594400000000007E-2</v>
      </c>
      <c r="K20" s="61">
        <f>IF(I20=L$11,Volatilities_Resets!$AA9,IF(I20&gt;=K$11,IF(I20&lt;L$11,(((Volatilities_Resets!$AA9-Volatilities_Resets!$Y9)/50)*((Calculator!I20-Calculator!K$11)*10000)+Volatilities_Resets!$Y9)),IF(I20&gt;=K$10,IF(I20&lt;L$10,(((Volatilities_Resets!$Y9-Volatilities_Resets!$W9)/50)*((Calculator!I20-Calculator!K$10)*10000)+Volatilities_Resets!$W9)),IF(I20&gt;=K$9,IF(I20&lt;L$9,(((Volatilities_Resets!$W9-Volatilities_Resets!$U9)/50)*((Calculator!I20-Calculator!K$9)*10000)+Volatilities_Resets!$U9)),IF(I20&gt;=K$8,IF(I20&lt;L$8,(((Volatilities_Resets!$U9-Volatilities_Resets!$S9)/50)*((Calculator!I20-Calculator!K$8)*10000)+Volatilities_Resets!$S9)),IF(I20&gt;=K$7,IF(I20&lt;L$7,(((Volatilities_Resets!$S9-Volatilities_Resets!$Q9)/50)*((Calculator!I20-Calculator!K$7)*10000)+Volatilities_Resets!$Q9)),IF(I20&gt;=K$6,IF(I20&lt;L$6,(((Volatilities_Resets!$Q9-Volatilities_Resets!$O9)/50)*((Calculator!I20-Calculator!K$6)*10000)+Volatilities_Resets!$O9)),IF(I20&gt;=K$5,IF(I20&lt;L$5,(((Volatilities_Resets!$O9-Volatilities_Resets!$M9)/50)*((Calculator!I20-Calculator!K$5)*10000)+Volatilities_Resets!$M9)),IF(I20&gt;=K$4,IF(I20&lt;L$4,(((Volatilities_Resets!$M9-Volatilities_Resets!$K9)/50)*((Calculator!I20-Calculator!K$4)*10000)+Volatilities_Resets!$K9)),IF(I20&gt;=K$3,IF(I20&lt;L$3,(((Volatilities_Resets!$K9-Volatilities_Resets!$I9)/50)*((Calculator!I20-Calculator!K$3)*10000)+Volatilities_Resets!$I9)),IF(I20&gt;=K$2,IF(I20&lt;L$2,(((Volatilities_Resets!$I9-Volatilities_Resets!$G9)/50)*((Calculator!I20-Calculator!K$2)*10000)+Volatilities_Resets!$G9)),"Well, something broke...")))))))))))/10000</f>
        <v>2.9115999999999996E-2</v>
      </c>
      <c r="L20" s="47">
        <f t="shared" ca="1" si="17"/>
        <v>56084.445859152591</v>
      </c>
      <c r="M20" s="63">
        <f t="shared" ca="1" si="18"/>
        <v>2.2445063282474529E-3</v>
      </c>
      <c r="N20" s="63">
        <f t="shared" ca="1" si="44"/>
        <v>351983.63919515099</v>
      </c>
      <c r="Q20" s="63">
        <f t="shared" ca="1" si="19"/>
        <v>27.534884059558134</v>
      </c>
      <c r="R20" s="63">
        <f ca="1">SUM($Q$15:Q20)</f>
        <v>68.707959686162496</v>
      </c>
      <c r="T20" s="52">
        <f ca="1">EXP(-AVERAGE(J$15:J20)*G20)</f>
        <v>0.97598700408131922</v>
      </c>
      <c r="U20" s="57"/>
      <c r="V20" s="52">
        <f t="shared" ca="1" si="20"/>
        <v>6</v>
      </c>
      <c r="W20" s="71">
        <f t="shared" ca="1" si="21"/>
        <v>45161</v>
      </c>
      <c r="X20" s="71">
        <f t="shared" ca="1" si="3"/>
        <v>45192</v>
      </c>
      <c r="Y20" s="72">
        <f t="shared" ca="1" si="4"/>
        <v>31</v>
      </c>
      <c r="Z20" s="73">
        <f ca="1">SUM(Y$15:Y20)/360</f>
        <v>0.51111111111111107</v>
      </c>
      <c r="AA20" s="74">
        <f t="shared" si="22"/>
        <v>25000000</v>
      </c>
      <c r="AB20" s="59">
        <f t="shared" si="23"/>
        <v>0.03</v>
      </c>
      <c r="AC20" s="57">
        <f>Volatilities_Resets!$E9*0.01</f>
        <v>4.5594400000000007E-2</v>
      </c>
      <c r="AD20" s="61">
        <f>IF(AB20=AE$11,Volatilities_Resets!$AA9,IF(AB20&gt;=AD$11,IF(AB20&lt;AE$11,(((Volatilities_Resets!$AA9-Volatilities_Resets!$Y9)/50)*((Calculator!AB20-Calculator!AD$11)*10000)+Volatilities_Resets!$Y9)),IF(AB20&gt;=AD$10,IF(AB20&lt;AE$10,(((Volatilities_Resets!$Y9-Volatilities_Resets!$W9)/50)*((Calculator!AB20-Calculator!AD$10)*10000)+Volatilities_Resets!$W9)),IF(AB20&gt;=AD$9,IF(AB20&lt;AE$9,(((Volatilities_Resets!$W9-Volatilities_Resets!$U9)/50)*((Calculator!AB20-Calculator!AD$9)*10000)+Volatilities_Resets!$U9)),IF(AB20&gt;=AD$8,IF(AB20&lt;AE$8,(((Volatilities_Resets!$U9-Volatilities_Resets!$S9)/50)*((Calculator!AB20-Calculator!AD$8)*10000)+Volatilities_Resets!$S9)),IF(AB20&gt;=AD$7,IF(AB20&lt;AE$7,(((Volatilities_Resets!$S9-Volatilities_Resets!$Q9)/50)*((Calculator!AB20-Calculator!AD$7)*10000)+Volatilities_Resets!$Q9)),IF(AB20&gt;=AD$6,IF(AB20&lt;AE$6,(((Volatilities_Resets!$Q9-Volatilities_Resets!$O9)/50)*((Calculator!AB20-Calculator!AD$6)*10000)+Volatilities_Resets!$O9)),IF(AB20&gt;=AD$5,IF(AB20&lt;AE$5,(((Volatilities_Resets!$O9-Volatilities_Resets!$M9)/50)*((Calculator!AB20-Calculator!AD$5)*10000)+Volatilities_Resets!$M9)),IF(AB20&gt;=AD$4,IF(AB20&lt;AE$4,(((Volatilities_Resets!$M9-Volatilities_Resets!$K9)/50)*((Calculator!AB20-Calculator!AD$4)*10000)+Volatilities_Resets!$K9)),IF(AB20&gt;=AD$3,IF(AB20&lt;AE$3,(((Volatilities_Resets!$K9-Volatilities_Resets!$I9)/50)*((Calculator!AB20-Calculator!AD$3)*10000)+Volatilities_Resets!$I9)),IF(AB20&gt;=AD$2,IF(AB20&lt;AE$2,(((Volatilities_Resets!$I9-Volatilities_Resets!$G9)/50)*((Calculator!AB20-Calculator!AD$2)*10000)+Volatilities_Resets!$G9)),"Well, something broke...")))))))))))/10000</f>
        <v>2.6972000000000003E-2</v>
      </c>
      <c r="AE20" s="63">
        <f t="shared" ca="1" si="24"/>
        <v>37560.910856235467</v>
      </c>
      <c r="AF20" s="63">
        <f t="shared" ca="1" si="25"/>
        <v>1.5041669497384098E-3</v>
      </c>
      <c r="AG20" s="63">
        <f t="shared" ca="1" si="45"/>
        <v>233126.03500295815</v>
      </c>
      <c r="AJ20" s="63">
        <f t="shared" ca="1" si="26"/>
        <v>42.224015690417041</v>
      </c>
      <c r="AK20" s="63">
        <f ca="1">SUM($AJ$15:AJ20)</f>
        <v>128.2878957972043</v>
      </c>
      <c r="AM20" s="52">
        <f ca="1">EXP(-AVERAGE(AC$15:AC20)*Z20)</f>
        <v>0.97598700408131922</v>
      </c>
      <c r="AO20" s="52">
        <f t="shared" ca="1" si="27"/>
        <v>6</v>
      </c>
      <c r="AP20" s="71">
        <f t="shared" ca="1" si="28"/>
        <v>45161</v>
      </c>
      <c r="AQ20" s="71">
        <f t="shared" ca="1" si="5"/>
        <v>45192</v>
      </c>
      <c r="AR20" s="72">
        <f t="shared" ca="1" si="6"/>
        <v>31</v>
      </c>
      <c r="AS20" s="73">
        <f ca="1">SUM(AR$15:AR20)/360</f>
        <v>0.51111111111111107</v>
      </c>
      <c r="AT20" s="74">
        <f t="shared" si="7"/>
        <v>25000000</v>
      </c>
      <c r="AU20" s="59">
        <f t="shared" si="29"/>
        <v>0.04</v>
      </c>
      <c r="AV20" s="57">
        <f>Volatilities_Resets!$E9*0.01</f>
        <v>4.5594400000000007E-2</v>
      </c>
      <c r="AW20" s="61">
        <f>IF(AU20=AX$11,Volatilities_Resets!$AA9,IF(AU20&gt;=AW$11,IF(AU20&lt;AX$11,(((Volatilities_Resets!$AA9-Volatilities_Resets!$Y9)/50)*((Calculator!AU20-Calculator!AW$11)*10000)+Volatilities_Resets!$Y9)),IF(AU20&gt;=AW$10,IF(AU20&lt;AX$10,(((Volatilities_Resets!$Y9-Volatilities_Resets!$W9)/50)*((Calculator!AU20-Calculator!AW$10)*10000)+Volatilities_Resets!$W9)),IF(AU20&gt;=AW$9,IF(AU20&lt;AX$9,(((Volatilities_Resets!$W9-Volatilities_Resets!$U9)/50)*((Calculator!AU20-Calculator!AW$9)*10000)+Volatilities_Resets!$U9)),IF(AU20&gt;=AW$8,IF(AU20&lt;AX$8,(((Volatilities_Resets!$U9-Volatilities_Resets!$S9)/50)*((Calculator!AU20-Calculator!AW$8)*10000)+Volatilities_Resets!$S9)),IF(AU20&gt;=AW$7,IF(AU20&lt;AX$7,(((Volatilities_Resets!$S9-Volatilities_Resets!$Q9)/50)*((Calculator!AU20-Calculator!AW$7)*10000)+Volatilities_Resets!$Q9)),IF(AU20&gt;=AW$6,IF(AU20&lt;AX$6,(((Volatilities_Resets!$Q9-Volatilities_Resets!$O9)/50)*((Calculator!AU20-Calculator!AW$6)*10000)+Volatilities_Resets!$O9)),IF(AU20&gt;=AW$5,IF(AU20&lt;AX$5,(((Volatilities_Resets!$O9-Volatilities_Resets!$M9)/50)*((Calculator!AU20-Calculator!AW$5)*10000)+Volatilities_Resets!$M9)),IF(AU20&gt;=AW$4,IF(AU20&lt;AX$4,(((Volatilities_Resets!$M9-Volatilities_Resets!$K9)/50)*((Calculator!AU20-Calculator!AW$4)*10000)+Volatilities_Resets!$K9)),IF(AU20&gt;=AW$3,IF(AU20&lt;AX$3,(((Volatilities_Resets!$K9-Volatilities_Resets!$I9)/50)*((Calculator!AU20-Calculator!AW$3)*10000)+Volatilities_Resets!$I9)),IF(AU20&gt;=AW$2,IF(AU20&lt;AX$2,(((Volatilities_Resets!$I9-Volatilities_Resets!$G9)/50)*((Calculator!AU20-Calculator!AW$2)*10000)+Volatilities_Resets!$G9)),"Well, something broke...")))))))))))/10000</f>
        <v>2.3806000000000001E-2</v>
      </c>
      <c r="AX20" s="63">
        <f t="shared" ca="1" si="30"/>
        <v>20906.827590383898</v>
      </c>
      <c r="AY20" s="63">
        <f t="shared" ca="1" si="31"/>
        <v>8.3854457182782965E-4</v>
      </c>
      <c r="AZ20" s="63">
        <f t="shared" ca="1" si="46"/>
        <v>123373.7497116249</v>
      </c>
      <c r="BC20" s="63">
        <f t="shared" ca="1" si="8"/>
        <v>55.423086388955412</v>
      </c>
      <c r="BD20" s="63">
        <f ca="1">SUM($BC$15:BC20)</f>
        <v>212.85969030573938</v>
      </c>
      <c r="BF20" s="52">
        <f ca="1">EXP(-AVERAGE(AV$15:AV20)*AS20)</f>
        <v>0.97598700408131922</v>
      </c>
      <c r="BH20" s="52">
        <f t="shared" ca="1" si="32"/>
        <v>6</v>
      </c>
      <c r="BI20" s="71">
        <f t="shared" ca="1" si="33"/>
        <v>45161</v>
      </c>
      <c r="BJ20" s="71">
        <f t="shared" ca="1" si="9"/>
        <v>45192</v>
      </c>
      <c r="BK20" s="72">
        <f t="shared" ca="1" si="10"/>
        <v>31</v>
      </c>
      <c r="BL20" s="73">
        <f ca="1">SUM(BK$15:BK20)/360</f>
        <v>0.51111111111111107</v>
      </c>
      <c r="BM20" s="74">
        <f t="shared" si="11"/>
        <v>25000000</v>
      </c>
      <c r="BN20" s="59">
        <f t="shared" si="34"/>
        <v>0.05</v>
      </c>
      <c r="BO20" s="57">
        <f>Volatilities_Resets!$E9*0.01</f>
        <v>4.5594400000000007E-2</v>
      </c>
      <c r="BP20" s="61">
        <f>IF(BN20=BQ$11,Volatilities_Resets!$AA9,IF(BN20&gt;=BP$11,IF(BN20&lt;BQ$11,(((Volatilities_Resets!$AA9-Volatilities_Resets!$Y9)/50)*((Calculator!BN20-Calculator!BP$11)*10000)+Volatilities_Resets!$Y9)),IF(BN20&gt;=BP$10,IF(BN20&lt;BQ$10,(((Volatilities_Resets!$Y9-Volatilities_Resets!$W9)/50)*((Calculator!BN20-Calculator!BP$10)*10000)+Volatilities_Resets!$W9)),IF(BN20&gt;=BP$9,IF(BN20&lt;BQ$9,(((Volatilities_Resets!$W9-Volatilities_Resets!$U9)/50)*((Calculator!BN20-Calculator!BP$9)*10000)+Volatilities_Resets!$U9)),IF(BN20&gt;=BP$8,IF(BN20&lt;BQ$8,(((Volatilities_Resets!$U9-Volatilities_Resets!$S9)/50)*((Calculator!BN20-Calculator!BP$8)*10000)+Volatilities_Resets!$S9)),IF(BN20&gt;=BP$7,IF(BN20&lt;BQ$7,(((Volatilities_Resets!$S9-Volatilities_Resets!$Q9)/50)*((Calculator!BN20-Calculator!BP$7)*10000)+Volatilities_Resets!$Q9)),IF(BN20&gt;=BP$6,IF(BN20&lt;BQ$6,(((Volatilities_Resets!$Q9-Volatilities_Resets!$O9)/50)*((Calculator!BN20-Calculator!BP$6)*10000)+Volatilities_Resets!$O9)),IF(BN20&gt;=BP$5,IF(BN20&lt;BQ$5,(((Volatilities_Resets!$O9-Volatilities_Resets!$M9)/50)*((Calculator!BN20-Calculator!BP$5)*10000)+Volatilities_Resets!$M9)),IF(BN20&gt;=BP$4,IF(BN20&lt;BQ$4,(((Volatilities_Resets!$M9-Volatilities_Resets!$K9)/50)*((Calculator!BN20-Calculator!BP$4)*10000)+Volatilities_Resets!$K9)),IF(BN20&gt;=BP$3,IF(BN20&lt;BQ$3,(((Volatilities_Resets!$K9-Volatilities_Resets!$I9)/50)*((Calculator!BN20-Calculator!BP$3)*10000)+Volatilities_Resets!$I9)),IF(BN20&gt;=BP$2,IF(BN20&lt;BQ$2,(((Volatilities_Resets!$I9-Volatilities_Resets!$G9)/50)*((Calculator!BN20-Calculator!BP$2)*10000)+Volatilities_Resets!$G9)),"Well, something broke...")))))))))))/10000</f>
        <v>2.0513E-2</v>
      </c>
      <c r="BQ20" s="63">
        <f t="shared" ca="1" si="35"/>
        <v>8214.782966239356</v>
      </c>
      <c r="BR20" s="63">
        <f t="shared" ca="1" si="36"/>
        <v>3.3088307781491832E-4</v>
      </c>
      <c r="BS20" s="63">
        <f t="shared" ca="1" si="47"/>
        <v>40540.75167055097</v>
      </c>
      <c r="BV20" s="63">
        <f t="shared" ca="1" si="37"/>
        <v>55.918179046502559</v>
      </c>
      <c r="BW20" s="63">
        <f ca="1">SUM($BV$15:BV20)</f>
        <v>252.54853718620996</v>
      </c>
      <c r="BY20" s="52">
        <f ca="1">EXP(-AVERAGE(BO$15:BO20)*BL20)</f>
        <v>0.97598700408131922</v>
      </c>
      <c r="CA20" s="52">
        <f t="shared" ca="1" si="38"/>
        <v>6</v>
      </c>
      <c r="CB20" s="71">
        <f t="shared" ca="1" si="39"/>
        <v>45161</v>
      </c>
      <c r="CC20" s="71">
        <f t="shared" ca="1" si="12"/>
        <v>45192</v>
      </c>
      <c r="CD20" s="72">
        <f t="shared" ca="1" si="13"/>
        <v>31</v>
      </c>
      <c r="CE20" s="73">
        <f ca="1">SUM(CD$15:CD20)/360</f>
        <v>0.51111111111111107</v>
      </c>
      <c r="CF20" s="74">
        <f t="shared" si="14"/>
        <v>25000000</v>
      </c>
      <c r="CG20" s="59">
        <f t="shared" si="40"/>
        <v>0.06</v>
      </c>
      <c r="CH20" s="57">
        <f>Volatilities_Resets!$E9*0.01</f>
        <v>4.5594400000000007E-2</v>
      </c>
      <c r="CI20" s="61">
        <f>IF(CG20=CJ$11,Volatilities_Resets!$AA9,IF(CG20&gt;=CI$11,IF(CG20&lt;CJ$11,(((Volatilities_Resets!$AA9-Volatilities_Resets!$Y9)/50)*((Calculator!CG20-Calculator!CI$11)*10000)+Volatilities_Resets!$Y9)),IF(CG20&gt;=CI$10,IF(CG20&lt;CJ$10,(((Volatilities_Resets!$Y9-Volatilities_Resets!$W9)/50)*((Calculator!CG20-Calculator!CI$10)*10000)+Volatilities_Resets!$W9)),IF(CG20&gt;=CI$9,IF(CG20&lt;CJ$9,(((Volatilities_Resets!$W9-Volatilities_Resets!$U9)/50)*((Calculator!CG20-Calculator!CI$9)*10000)+Volatilities_Resets!$U9)),IF(CG20&gt;=CI$8,IF(CG20&lt;CJ$8,(((Volatilities_Resets!$U9-Volatilities_Resets!$S9)/50)*((Calculator!CG20-Calculator!CI$8)*10000)+Volatilities_Resets!$S9)),IF(CG20&gt;=CI$7,IF(CG20&lt;CJ$7,(((Volatilities_Resets!$S9-Volatilities_Resets!$Q9)/50)*((Calculator!CG20-Calculator!CI$7)*10000)+Volatilities_Resets!$Q9)),IF(CG20&gt;=CI$6,IF(CG20&lt;CJ$6,(((Volatilities_Resets!$Q9-Volatilities_Resets!$O9)/50)*((Calculator!CG20-Calculator!CI$6)*10000)+Volatilities_Resets!$O9)),IF(CG20&gt;=CI$5,IF(CG20&lt;CJ$5,(((Volatilities_Resets!$O9-Volatilities_Resets!$M9)/50)*((Calculator!CG20-Calculator!CI$5)*10000)+Volatilities_Resets!$M9)),IF(CG20&gt;=CI$4,IF(CG20&lt;CJ$4,(((Volatilities_Resets!$M9-Volatilities_Resets!$K9)/50)*((Calculator!CG20-Calculator!CI$4)*10000)+Volatilities_Resets!$K9)),IF(CG20&gt;=CI$3,IF(CG20&lt;CJ$3,(((Volatilities_Resets!$K9-Volatilities_Resets!$I9)/50)*((Calculator!CG20-Calculator!CI$3)*10000)+Volatilities_Resets!$I9)),IF(CG20&gt;=CI$2,IF(CG20&lt;CJ$2,(((Volatilities_Resets!$I9-Volatilities_Resets!$G9)/50)*((Calculator!CG20-Calculator!CI$2)*10000)+Volatilities_Resets!$G9)),"Well, something broke...")))))))))))/10000</f>
        <v>1.8524000000000002E-2</v>
      </c>
      <c r="CJ20" s="63">
        <f t="shared" ca="1" si="41"/>
        <v>1955.9448491034004</v>
      </c>
      <c r="CK20" s="63">
        <f t="shared" ca="1" si="42"/>
        <v>7.9568588609451227E-5</v>
      </c>
      <c r="CL20" s="63">
        <f t="shared" ca="1" si="48"/>
        <v>6769.9450031046454</v>
      </c>
      <c r="CO20" s="63">
        <f t="shared" ca="1" si="43"/>
        <v>32.470956973216339</v>
      </c>
      <c r="CP20" s="63">
        <f ca="1">SUM($CO$15:CO20)</f>
        <v>120.93276342884431</v>
      </c>
      <c r="CR20" s="52">
        <f ca="1">EXP(-AVERAGE(CH$15:CH20)*CE20)</f>
        <v>0.97598700408131922</v>
      </c>
      <c r="CT20"/>
      <c r="CU20"/>
      <c r="CV20"/>
      <c r="CW20"/>
      <c r="CX20"/>
      <c r="CY20"/>
      <c r="CZ20"/>
      <c r="DA20"/>
      <c r="DB20"/>
      <c r="DC20"/>
      <c r="DD20"/>
      <c r="DE20"/>
      <c r="DF20"/>
      <c r="DG20"/>
      <c r="DH20"/>
      <c r="DI20"/>
      <c r="DJ20"/>
      <c r="DK20"/>
      <c r="DL20"/>
    </row>
    <row r="21" spans="2:116" ht="15.75" customHeight="1">
      <c r="B21" s="52">
        <v>1</v>
      </c>
      <c r="C21" s="52">
        <f t="shared" ca="1" si="15"/>
        <v>7</v>
      </c>
      <c r="D21" s="71">
        <f t="shared" ca="1" si="16"/>
        <v>45192</v>
      </c>
      <c r="E21" s="71">
        <f t="shared" ca="1" si="0"/>
        <v>45222</v>
      </c>
      <c r="F21" s="72">
        <f t="shared" ca="1" si="1"/>
        <v>30</v>
      </c>
      <c r="G21" s="73">
        <f ca="1">SUM($F$15:F21)/360</f>
        <v>0.59444444444444444</v>
      </c>
      <c r="H21" s="74">
        <f t="shared" si="2"/>
        <v>25000000</v>
      </c>
      <c r="I21" s="59">
        <f>IF('Cap Pricer'!$E$22=DataValidation!$C$2,'Cap Pricer'!$E$23,IF('Cap Pricer'!$E$22=DataValidation!$C$3,VLOOKUP($B21,'Cap Pricer'!$C$25:$E$31,3),""))</f>
        <v>0.02</v>
      </c>
      <c r="J21" s="57">
        <f>Volatilities_Resets!$E10*0.01</f>
        <v>4.4545500000000002E-2</v>
      </c>
      <c r="K21" s="61">
        <f>IF(I21=L$11,Volatilities_Resets!$AA10,IF(I21&gt;=K$11,IF(I21&lt;L$11,(((Volatilities_Resets!$AA10-Volatilities_Resets!$Y10)/50)*((Calculator!I21-Calculator!K$11)*10000)+Volatilities_Resets!$Y10)),IF(I21&gt;=K$10,IF(I21&lt;L$10,(((Volatilities_Resets!$Y10-Volatilities_Resets!$W10)/50)*((Calculator!I21-Calculator!K$10)*10000)+Volatilities_Resets!$W10)),IF(I21&gt;=K$9,IF(I21&lt;L$9,(((Volatilities_Resets!$W10-Volatilities_Resets!$U10)/50)*((Calculator!I21-Calculator!K$9)*10000)+Volatilities_Resets!$U10)),IF(I21&gt;=K$8,IF(I21&lt;L$8,(((Volatilities_Resets!$U10-Volatilities_Resets!$S10)/50)*((Calculator!I21-Calculator!K$8)*10000)+Volatilities_Resets!$S10)),IF(I21&gt;=K$7,IF(I21&lt;L$7,(((Volatilities_Resets!$S10-Volatilities_Resets!$Q10)/50)*((Calculator!I21-Calculator!K$7)*10000)+Volatilities_Resets!$Q10)),IF(I21&gt;=K$6,IF(I21&lt;L$6,(((Volatilities_Resets!$Q10-Volatilities_Resets!$O10)/50)*((Calculator!I21-Calculator!K$6)*10000)+Volatilities_Resets!$O10)),IF(I21&gt;=K$5,IF(I21&lt;L$5,(((Volatilities_Resets!$O10-Volatilities_Resets!$M10)/50)*((Calculator!I21-Calculator!K$5)*10000)+Volatilities_Resets!$M10)),IF(I21&gt;=K$4,IF(I21&lt;L$4,(((Volatilities_Resets!$M10-Volatilities_Resets!$K10)/50)*((Calculator!I21-Calculator!K$4)*10000)+Volatilities_Resets!$K10)),IF(I21&gt;=K$3,IF(I21&lt;L$3,(((Volatilities_Resets!$K10-Volatilities_Resets!$I10)/50)*((Calculator!I21-Calculator!K$3)*10000)+Volatilities_Resets!$I10)),IF(I21&gt;=K$2,IF(I21&lt;L$2,(((Volatilities_Resets!$I10-Volatilities_Resets!$G10)/50)*((Calculator!I21-Calculator!K$2)*10000)+Volatilities_Resets!$G10)),"Well, something broke...")))))))))))/10000</f>
        <v>2.8796000000000002E-2</v>
      </c>
      <c r="L21" s="47">
        <f t="shared" ca="1" si="17"/>
        <v>52776.260422137952</v>
      </c>
      <c r="M21" s="63">
        <f t="shared" ca="1" si="18"/>
        <v>2.1124059935002976E-3</v>
      </c>
      <c r="N21" s="63">
        <f t="shared" ca="1" si="44"/>
        <v>404759.89961728896</v>
      </c>
      <c r="Q21" s="63">
        <f t="shared" ca="1" si="19"/>
        <v>32.95323314346529</v>
      </c>
      <c r="R21" s="63">
        <f ca="1">SUM($Q$15:Q21)</f>
        <v>101.66119282962779</v>
      </c>
      <c r="T21" s="52">
        <f ca="1">EXP(-AVERAGE(J$15:J21)*G21)</f>
        <v>0.97237537986959699</v>
      </c>
      <c r="U21" s="57"/>
      <c r="V21" s="52">
        <f t="shared" ca="1" si="20"/>
        <v>7</v>
      </c>
      <c r="W21" s="71">
        <f t="shared" ca="1" si="21"/>
        <v>45192</v>
      </c>
      <c r="X21" s="71">
        <f t="shared" ca="1" si="3"/>
        <v>45222</v>
      </c>
      <c r="Y21" s="72">
        <f t="shared" ca="1" si="4"/>
        <v>30</v>
      </c>
      <c r="Z21" s="73">
        <f ca="1">SUM(Y$15:Y21)/360</f>
        <v>0.59444444444444444</v>
      </c>
      <c r="AA21" s="74">
        <f t="shared" si="22"/>
        <v>25000000</v>
      </c>
      <c r="AB21" s="59">
        <f t="shared" si="23"/>
        <v>0.03</v>
      </c>
      <c r="AC21" s="57">
        <f>Volatilities_Resets!$E10*0.01</f>
        <v>4.4545500000000002E-2</v>
      </c>
      <c r="AD21" s="61">
        <f>IF(AB21=AE$11,Volatilities_Resets!$AA10,IF(AB21&gt;=AD$11,IF(AB21&lt;AE$11,(((Volatilities_Resets!$AA10-Volatilities_Resets!$Y10)/50)*((Calculator!AB21-Calculator!AD$11)*10000)+Volatilities_Resets!$Y10)),IF(AB21&gt;=AD$10,IF(AB21&lt;AE$10,(((Volatilities_Resets!$Y10-Volatilities_Resets!$W10)/50)*((Calculator!AB21-Calculator!AD$10)*10000)+Volatilities_Resets!$W10)),IF(AB21&gt;=AD$9,IF(AB21&lt;AE$9,(((Volatilities_Resets!$W10-Volatilities_Resets!$U10)/50)*((Calculator!AB21-Calculator!AD$9)*10000)+Volatilities_Resets!$U10)),IF(AB21&gt;=AD$8,IF(AB21&lt;AE$8,(((Volatilities_Resets!$U10-Volatilities_Resets!$S10)/50)*((Calculator!AB21-Calculator!AD$8)*10000)+Volatilities_Resets!$S10)),IF(AB21&gt;=AD$7,IF(AB21&lt;AE$7,(((Volatilities_Resets!$S10-Volatilities_Resets!$Q10)/50)*((Calculator!AB21-Calculator!AD$7)*10000)+Volatilities_Resets!$Q10)),IF(AB21&gt;=AD$6,IF(AB21&lt;AE$6,(((Volatilities_Resets!$Q10-Volatilities_Resets!$O10)/50)*((Calculator!AB21-Calculator!AD$6)*10000)+Volatilities_Resets!$O10)),IF(AB21&gt;=AD$5,IF(AB21&lt;AE$5,(((Volatilities_Resets!$O10-Volatilities_Resets!$M10)/50)*((Calculator!AB21-Calculator!AD$5)*10000)+Volatilities_Resets!$M10)),IF(AB21&gt;=AD$4,IF(AB21&lt;AE$4,(((Volatilities_Resets!$M10-Volatilities_Resets!$K10)/50)*((Calculator!AB21-Calculator!AD$4)*10000)+Volatilities_Resets!$K10)),IF(AB21&gt;=AD$3,IF(AB21&lt;AE$3,(((Volatilities_Resets!$K10-Volatilities_Resets!$I10)/50)*((Calculator!AB21-Calculator!AD$3)*10000)+Volatilities_Resets!$I10)),IF(AB21&gt;=AD$2,IF(AB21&lt;AE$2,(((Volatilities_Resets!$I10-Volatilities_Resets!$G10)/50)*((Calculator!AB21-Calculator!AD$2)*10000)+Volatilities_Resets!$G10)),"Well, something broke...")))))))))))/10000</f>
        <v>2.6622000000000003E-2</v>
      </c>
      <c r="AE21" s="63">
        <f t="shared" ca="1" si="24"/>
        <v>35320.447981791549</v>
      </c>
      <c r="AF21" s="63">
        <f t="shared" ca="1" si="25"/>
        <v>1.4147587078808109E-3</v>
      </c>
      <c r="AG21" s="63">
        <f t="shared" ca="1" si="45"/>
        <v>268446.48298474972</v>
      </c>
      <c r="AJ21" s="63">
        <f t="shared" ca="1" si="26"/>
        <v>47.179376526698356</v>
      </c>
      <c r="AK21" s="63">
        <f ca="1">SUM($AJ$15:AJ21)</f>
        <v>175.46727232390265</v>
      </c>
      <c r="AM21" s="52">
        <f ca="1">EXP(-AVERAGE(AC$15:AC21)*Z21)</f>
        <v>0.97237537986959699</v>
      </c>
      <c r="AO21" s="52">
        <f t="shared" ca="1" si="27"/>
        <v>7</v>
      </c>
      <c r="AP21" s="71">
        <f t="shared" ca="1" si="28"/>
        <v>45192</v>
      </c>
      <c r="AQ21" s="71">
        <f t="shared" ca="1" si="5"/>
        <v>45222</v>
      </c>
      <c r="AR21" s="72">
        <f t="shared" ca="1" si="6"/>
        <v>30</v>
      </c>
      <c r="AS21" s="73">
        <f ca="1">SUM(AR$15:AR21)/360</f>
        <v>0.59444444444444444</v>
      </c>
      <c r="AT21" s="74">
        <f t="shared" si="7"/>
        <v>25000000</v>
      </c>
      <c r="AU21" s="59">
        <f t="shared" si="29"/>
        <v>0.04</v>
      </c>
      <c r="AV21" s="57">
        <f>Volatilities_Resets!$E10*0.01</f>
        <v>4.4545500000000002E-2</v>
      </c>
      <c r="AW21" s="61">
        <f>IF(AU21=AX$11,Volatilities_Resets!$AA10,IF(AU21&gt;=AW$11,IF(AU21&lt;AX$11,(((Volatilities_Resets!$AA10-Volatilities_Resets!$Y10)/50)*((Calculator!AU21-Calculator!AW$11)*10000)+Volatilities_Resets!$Y10)),IF(AU21&gt;=AW$10,IF(AU21&lt;AX$10,(((Volatilities_Resets!$Y10-Volatilities_Resets!$W10)/50)*((Calculator!AU21-Calculator!AW$10)*10000)+Volatilities_Resets!$W10)),IF(AU21&gt;=AW$9,IF(AU21&lt;AX$9,(((Volatilities_Resets!$W10-Volatilities_Resets!$U10)/50)*((Calculator!AU21-Calculator!AW$9)*10000)+Volatilities_Resets!$U10)),IF(AU21&gt;=AW$8,IF(AU21&lt;AX$8,(((Volatilities_Resets!$U10-Volatilities_Resets!$S10)/50)*((Calculator!AU21-Calculator!AW$8)*10000)+Volatilities_Resets!$S10)),IF(AU21&gt;=AW$7,IF(AU21&lt;AX$7,(((Volatilities_Resets!$S10-Volatilities_Resets!$Q10)/50)*((Calculator!AU21-Calculator!AW$7)*10000)+Volatilities_Resets!$Q10)),IF(AU21&gt;=AW$6,IF(AU21&lt;AX$6,(((Volatilities_Resets!$Q10-Volatilities_Resets!$O10)/50)*((Calculator!AU21-Calculator!AW$6)*10000)+Volatilities_Resets!$O10)),IF(AU21&gt;=AW$5,IF(AU21&lt;AX$5,(((Volatilities_Resets!$O10-Volatilities_Resets!$M10)/50)*((Calculator!AU21-Calculator!AW$5)*10000)+Volatilities_Resets!$M10)),IF(AU21&gt;=AW$4,IF(AU21&lt;AX$4,(((Volatilities_Resets!$M10-Volatilities_Resets!$K10)/50)*((Calculator!AU21-Calculator!AW$4)*10000)+Volatilities_Resets!$K10)),IF(AU21&gt;=AW$3,IF(AU21&lt;AX$3,(((Volatilities_Resets!$K10-Volatilities_Resets!$I10)/50)*((Calculator!AU21-Calculator!AW$3)*10000)+Volatilities_Resets!$I10)),IF(AU21&gt;=AW$2,IF(AU21&lt;AX$2,(((Volatilities_Resets!$I10-Volatilities_Resets!$G10)/50)*((Calculator!AU21-Calculator!AW$2)*10000)+Volatilities_Resets!$G10)),"Well, something broke...")))))))))))/10000</f>
        <v>2.3452000000000001E-2</v>
      </c>
      <c r="AX21" s="63">
        <f t="shared" ca="1" si="30"/>
        <v>19676.386657246381</v>
      </c>
      <c r="AY21" s="63">
        <f t="shared" ca="1" si="31"/>
        <v>7.8947066993770223E-4</v>
      </c>
      <c r="AZ21" s="63">
        <f t="shared" ca="1" si="46"/>
        <v>143050.13636887129</v>
      </c>
      <c r="BC21" s="63">
        <f t="shared" ca="1" si="8"/>
        <v>58.712114113439817</v>
      </c>
      <c r="BD21" s="63">
        <f ca="1">SUM($BC$15:BC21)</f>
        <v>271.57180441917922</v>
      </c>
      <c r="BF21" s="52">
        <f ca="1">EXP(-AVERAGE(AV$15:AV21)*AS21)</f>
        <v>0.97237537986959699</v>
      </c>
      <c r="BH21" s="52">
        <f t="shared" ca="1" si="32"/>
        <v>7</v>
      </c>
      <c r="BI21" s="71">
        <f t="shared" ca="1" si="33"/>
        <v>45192</v>
      </c>
      <c r="BJ21" s="71">
        <f t="shared" ca="1" si="9"/>
        <v>45222</v>
      </c>
      <c r="BK21" s="72">
        <f t="shared" ca="1" si="10"/>
        <v>30</v>
      </c>
      <c r="BL21" s="73">
        <f ca="1">SUM(BK$15:BK21)/360</f>
        <v>0.59444444444444444</v>
      </c>
      <c r="BM21" s="74">
        <f t="shared" si="11"/>
        <v>25000000</v>
      </c>
      <c r="BN21" s="59">
        <f t="shared" si="34"/>
        <v>0.05</v>
      </c>
      <c r="BO21" s="57">
        <f>Volatilities_Resets!$E10*0.01</f>
        <v>4.4545500000000002E-2</v>
      </c>
      <c r="BP21" s="61">
        <f>IF(BN21=BQ$11,Volatilities_Resets!$AA10,IF(BN21&gt;=BP$11,IF(BN21&lt;BQ$11,(((Volatilities_Resets!$AA10-Volatilities_Resets!$Y10)/50)*((Calculator!BN21-Calculator!BP$11)*10000)+Volatilities_Resets!$Y10)),IF(BN21&gt;=BP$10,IF(BN21&lt;BQ$10,(((Volatilities_Resets!$Y10-Volatilities_Resets!$W10)/50)*((Calculator!BN21-Calculator!BP$10)*10000)+Volatilities_Resets!$W10)),IF(BN21&gt;=BP$9,IF(BN21&lt;BQ$9,(((Volatilities_Resets!$W10-Volatilities_Resets!$U10)/50)*((Calculator!BN21-Calculator!BP$9)*10000)+Volatilities_Resets!$U10)),IF(BN21&gt;=BP$8,IF(BN21&lt;BQ$8,(((Volatilities_Resets!$U10-Volatilities_Resets!$S10)/50)*((Calculator!BN21-Calculator!BP$8)*10000)+Volatilities_Resets!$S10)),IF(BN21&gt;=BP$7,IF(BN21&lt;BQ$7,(((Volatilities_Resets!$S10-Volatilities_Resets!$Q10)/50)*((Calculator!BN21-Calculator!BP$7)*10000)+Volatilities_Resets!$Q10)),IF(BN21&gt;=BP$6,IF(BN21&lt;BQ$6,(((Volatilities_Resets!$Q10-Volatilities_Resets!$O10)/50)*((Calculator!BN21-Calculator!BP$6)*10000)+Volatilities_Resets!$O10)),IF(BN21&gt;=BP$5,IF(BN21&lt;BQ$5,(((Volatilities_Resets!$O10-Volatilities_Resets!$M10)/50)*((Calculator!BN21-Calculator!BP$5)*10000)+Volatilities_Resets!$M10)),IF(BN21&gt;=BP$4,IF(BN21&lt;BQ$4,(((Volatilities_Resets!$M10-Volatilities_Resets!$K10)/50)*((Calculator!BN21-Calculator!BP$4)*10000)+Volatilities_Resets!$K10)),IF(BN21&gt;=BP$3,IF(BN21&lt;BQ$3,(((Volatilities_Resets!$K10-Volatilities_Resets!$I10)/50)*((Calculator!BN21-Calculator!BP$3)*10000)+Volatilities_Resets!$I10)),IF(BN21&gt;=BP$2,IF(BN21&lt;BQ$2,(((Volatilities_Resets!$I10-Volatilities_Resets!$G10)/50)*((Calculator!BN21-Calculator!BP$2)*10000)+Volatilities_Resets!$G10)),"Well, something broke...")))))))))))/10000</f>
        <v>2.0194999999999998E-2</v>
      </c>
      <c r="BQ21" s="63">
        <f t="shared" ca="1" si="35"/>
        <v>7823.0266425887658</v>
      </c>
      <c r="BR21" s="63">
        <f t="shared" ca="1" si="36"/>
        <v>3.1526584344848641E-4</v>
      </c>
      <c r="BS21" s="63">
        <f t="shared" ca="1" si="47"/>
        <v>48363.778313139737</v>
      </c>
      <c r="BV21" s="63">
        <f t="shared" ca="1" si="37"/>
        <v>57.00010376104246</v>
      </c>
      <c r="BW21" s="63">
        <f ca="1">SUM($BV$15:BV21)</f>
        <v>309.54864094725241</v>
      </c>
      <c r="BY21" s="52">
        <f ca="1">EXP(-AVERAGE(BO$15:BO21)*BL21)</f>
        <v>0.97237537986959699</v>
      </c>
      <c r="CA21" s="52">
        <f t="shared" ca="1" si="38"/>
        <v>7</v>
      </c>
      <c r="CB21" s="71">
        <f t="shared" ca="1" si="39"/>
        <v>45192</v>
      </c>
      <c r="CC21" s="71">
        <f t="shared" ca="1" si="12"/>
        <v>45222</v>
      </c>
      <c r="CD21" s="72">
        <f t="shared" ca="1" si="13"/>
        <v>30</v>
      </c>
      <c r="CE21" s="73">
        <f ca="1">SUM(CD$15:CD21)/360</f>
        <v>0.59444444444444444</v>
      </c>
      <c r="CF21" s="74">
        <f t="shared" si="14"/>
        <v>25000000</v>
      </c>
      <c r="CG21" s="59">
        <f t="shared" si="40"/>
        <v>0.06</v>
      </c>
      <c r="CH21" s="57">
        <f>Volatilities_Resets!$E10*0.01</f>
        <v>4.4545500000000002E-2</v>
      </c>
      <c r="CI21" s="61">
        <f>IF(CG21=CJ$11,Volatilities_Resets!$AA10,IF(CG21&gt;=CI$11,IF(CG21&lt;CJ$11,(((Volatilities_Resets!$AA10-Volatilities_Resets!$Y10)/50)*((Calculator!CG21-Calculator!CI$11)*10000)+Volatilities_Resets!$Y10)),IF(CG21&gt;=CI$10,IF(CG21&lt;CJ$10,(((Volatilities_Resets!$Y10-Volatilities_Resets!$W10)/50)*((Calculator!CG21-Calculator!CI$10)*10000)+Volatilities_Resets!$W10)),IF(CG21&gt;=CI$9,IF(CG21&lt;CJ$9,(((Volatilities_Resets!$W10-Volatilities_Resets!$U10)/50)*((Calculator!CG21-Calculator!CI$9)*10000)+Volatilities_Resets!$U10)),IF(CG21&gt;=CI$8,IF(CG21&lt;CJ$8,(((Volatilities_Resets!$U10-Volatilities_Resets!$S10)/50)*((Calculator!CG21-Calculator!CI$8)*10000)+Volatilities_Resets!$S10)),IF(CG21&gt;=CI$7,IF(CG21&lt;CJ$7,(((Volatilities_Resets!$S10-Volatilities_Resets!$Q10)/50)*((Calculator!CG21-Calculator!CI$7)*10000)+Volatilities_Resets!$Q10)),IF(CG21&gt;=CI$6,IF(CG21&lt;CJ$6,(((Volatilities_Resets!$Q10-Volatilities_Resets!$O10)/50)*((Calculator!CG21-Calculator!CI$6)*10000)+Volatilities_Resets!$O10)),IF(CG21&gt;=CI$5,IF(CG21&lt;CJ$5,(((Volatilities_Resets!$O10-Volatilities_Resets!$M10)/50)*((Calculator!CG21-Calculator!CI$5)*10000)+Volatilities_Resets!$M10)),IF(CG21&gt;=CI$4,IF(CG21&lt;CJ$4,(((Volatilities_Resets!$M10-Volatilities_Resets!$K10)/50)*((Calculator!CG21-Calculator!CI$4)*10000)+Volatilities_Resets!$K10)),IF(CG21&gt;=CI$3,IF(CG21&lt;CJ$3,(((Volatilities_Resets!$K10-Volatilities_Resets!$I10)/50)*((Calculator!CG21-Calculator!CI$3)*10000)+Volatilities_Resets!$I10)),IF(CG21&gt;=CI$2,IF(CG21&lt;CJ$2,(((Volatilities_Resets!$I10-Volatilities_Resets!$G10)/50)*((Calculator!CG21-Calculator!CI$2)*10000)+Volatilities_Resets!$G10)),"Well, something broke...")))))))))))/10000</f>
        <v>1.8296E-2</v>
      </c>
      <c r="CJ21" s="63">
        <f t="shared" ca="1" si="41"/>
        <v>1978.0905307671992</v>
      </c>
      <c r="CK21" s="63">
        <f t="shared" ca="1" si="42"/>
        <v>8.0495754360771448E-5</v>
      </c>
      <c r="CL21" s="63">
        <f t="shared" ca="1" si="48"/>
        <v>8748.0355338718437</v>
      </c>
      <c r="CO21" s="63">
        <f t="shared" ca="1" si="43"/>
        <v>33.355711839914612</v>
      </c>
      <c r="CP21" s="63">
        <f ca="1">SUM($CO$15:CO21)</f>
        <v>154.28847526875893</v>
      </c>
      <c r="CR21" s="52">
        <f ca="1">EXP(-AVERAGE(CH$15:CH21)*CE21)</f>
        <v>0.97237537986959699</v>
      </c>
      <c r="CT21"/>
      <c r="CU21"/>
      <c r="CV21"/>
      <c r="CW21"/>
      <c r="CX21"/>
      <c r="CY21"/>
      <c r="CZ21"/>
      <c r="DA21"/>
      <c r="DB21"/>
      <c r="DC21"/>
      <c r="DD21"/>
      <c r="DE21"/>
      <c r="DF21"/>
      <c r="DG21"/>
      <c r="DH21"/>
      <c r="DI21"/>
      <c r="DJ21"/>
      <c r="DK21"/>
      <c r="DL21"/>
    </row>
    <row r="22" spans="2:116" ht="15.75" customHeight="1">
      <c r="B22" s="52">
        <v>1</v>
      </c>
      <c r="C22" s="52">
        <f t="shared" ca="1" si="15"/>
        <v>8</v>
      </c>
      <c r="D22" s="71">
        <f t="shared" ca="1" si="16"/>
        <v>45222</v>
      </c>
      <c r="E22" s="71">
        <f t="shared" ca="1" si="0"/>
        <v>45253</v>
      </c>
      <c r="F22" s="72">
        <f t="shared" ca="1" si="1"/>
        <v>31</v>
      </c>
      <c r="G22" s="73">
        <f ca="1">SUM($F$15:F22)/360</f>
        <v>0.68055555555555558</v>
      </c>
      <c r="H22" s="74">
        <f t="shared" si="2"/>
        <v>25000000</v>
      </c>
      <c r="I22" s="59">
        <f>IF('Cap Pricer'!$E$22=DataValidation!$C$2,'Cap Pricer'!$E$23,IF('Cap Pricer'!$E$22=DataValidation!$C$3,VLOOKUP($B22,'Cap Pricer'!$C$25:$E$31,3),""))</f>
        <v>0.02</v>
      </c>
      <c r="J22" s="57">
        <f>Volatilities_Resets!$E11*0.01</f>
        <v>4.3246399999999997E-2</v>
      </c>
      <c r="K22" s="61">
        <f>IF(I22=L$11,Volatilities_Resets!$AA11,IF(I22&gt;=K$11,IF(I22&lt;L$11,(((Volatilities_Resets!$AA11-Volatilities_Resets!$Y11)/50)*((Calculator!I22-Calculator!K$11)*10000)+Volatilities_Resets!$Y11)),IF(I22&gt;=K$10,IF(I22&lt;L$10,(((Volatilities_Resets!$Y11-Volatilities_Resets!$W11)/50)*((Calculator!I22-Calculator!K$10)*10000)+Volatilities_Resets!$W11)),IF(I22&gt;=K$9,IF(I22&lt;L$9,(((Volatilities_Resets!$W11-Volatilities_Resets!$U11)/50)*((Calculator!I22-Calculator!K$9)*10000)+Volatilities_Resets!$U11)),IF(I22&gt;=K$8,IF(I22&lt;L$8,(((Volatilities_Resets!$U11-Volatilities_Resets!$S11)/50)*((Calculator!I22-Calculator!K$8)*10000)+Volatilities_Resets!$S11)),IF(I22&gt;=K$7,IF(I22&lt;L$7,(((Volatilities_Resets!$S11-Volatilities_Resets!$Q11)/50)*((Calculator!I22-Calculator!K$7)*10000)+Volatilities_Resets!$Q11)),IF(I22&gt;=K$6,IF(I22&lt;L$6,(((Volatilities_Resets!$Q11-Volatilities_Resets!$O11)/50)*((Calculator!I22-Calculator!K$6)*10000)+Volatilities_Resets!$O11)),IF(I22&gt;=K$5,IF(I22&lt;L$5,(((Volatilities_Resets!$O11-Volatilities_Resets!$M11)/50)*((Calculator!I22-Calculator!K$5)*10000)+Volatilities_Resets!$M11)),IF(I22&gt;=K$4,IF(I22&lt;L$4,(((Volatilities_Resets!$M11-Volatilities_Resets!$K11)/50)*((Calculator!I22-Calculator!K$4)*10000)+Volatilities_Resets!$K11)),IF(I22&gt;=K$3,IF(I22&lt;L$3,(((Volatilities_Resets!$K11-Volatilities_Resets!$I11)/50)*((Calculator!I22-Calculator!K$3)*10000)+Volatilities_Resets!$I11)),IF(I22&gt;=K$2,IF(I22&lt;L$2,(((Volatilities_Resets!$I11-Volatilities_Resets!$G11)/50)*((Calculator!I22-Calculator!K$2)*10000)+Volatilities_Resets!$G11)),"Well, something broke...")))))))))))/10000</f>
        <v>2.8833000000000004E-2</v>
      </c>
      <c r="L22" s="47">
        <f t="shared" ca="1" si="17"/>
        <v>52795.421669004434</v>
      </c>
      <c r="M22" s="63">
        <f t="shared" ca="1" si="18"/>
        <v>2.1135226601638889E-3</v>
      </c>
      <c r="N22" s="63">
        <f t="shared" ca="1" si="44"/>
        <v>457555.32128629339</v>
      </c>
      <c r="Q22" s="63">
        <f t="shared" ca="1" si="19"/>
        <v>41.312485843651416</v>
      </c>
      <c r="R22" s="63">
        <f ca="1">SUM($Q$15:Q22)</f>
        <v>142.97367867327921</v>
      </c>
      <c r="T22" s="52">
        <f ca="1">EXP(-AVERAGE(J$15:J22)*G22)</f>
        <v>0.96875707817283874</v>
      </c>
      <c r="U22" s="57"/>
      <c r="V22" s="52">
        <f t="shared" ca="1" si="20"/>
        <v>8</v>
      </c>
      <c r="W22" s="71">
        <f t="shared" ca="1" si="21"/>
        <v>45222</v>
      </c>
      <c r="X22" s="71">
        <f t="shared" ca="1" si="3"/>
        <v>45253</v>
      </c>
      <c r="Y22" s="72">
        <f t="shared" ca="1" si="4"/>
        <v>31</v>
      </c>
      <c r="Z22" s="73">
        <f ca="1">SUM(Y$15:Y22)/360</f>
        <v>0.68055555555555558</v>
      </c>
      <c r="AA22" s="74">
        <f t="shared" si="22"/>
        <v>25000000</v>
      </c>
      <c r="AB22" s="59">
        <f t="shared" si="23"/>
        <v>0.03</v>
      </c>
      <c r="AC22" s="57">
        <f>Volatilities_Resets!$E11*0.01</f>
        <v>4.3246399999999997E-2</v>
      </c>
      <c r="AD22" s="61">
        <f>IF(AB22=AE$11,Volatilities_Resets!$AA11,IF(AB22&gt;=AD$11,IF(AB22&lt;AE$11,(((Volatilities_Resets!$AA11-Volatilities_Resets!$Y11)/50)*((Calculator!AB22-Calculator!AD$11)*10000)+Volatilities_Resets!$Y11)),IF(AB22&gt;=AD$10,IF(AB22&lt;AE$10,(((Volatilities_Resets!$Y11-Volatilities_Resets!$W11)/50)*((Calculator!AB22-Calculator!AD$10)*10000)+Volatilities_Resets!$W11)),IF(AB22&gt;=AD$9,IF(AB22&lt;AE$9,(((Volatilities_Resets!$W11-Volatilities_Resets!$U11)/50)*((Calculator!AB22-Calculator!AD$9)*10000)+Volatilities_Resets!$U11)),IF(AB22&gt;=AD$8,IF(AB22&lt;AE$8,(((Volatilities_Resets!$U11-Volatilities_Resets!$S11)/50)*((Calculator!AB22-Calculator!AD$8)*10000)+Volatilities_Resets!$S11)),IF(AB22&gt;=AD$7,IF(AB22&lt;AE$7,(((Volatilities_Resets!$S11-Volatilities_Resets!$Q11)/50)*((Calculator!AB22-Calculator!AD$7)*10000)+Volatilities_Resets!$Q11)),IF(AB22&gt;=AD$6,IF(AB22&lt;AE$6,(((Volatilities_Resets!$Q11-Volatilities_Resets!$O11)/50)*((Calculator!AB22-Calculator!AD$6)*10000)+Volatilities_Resets!$O11)),IF(AB22&gt;=AD$5,IF(AB22&lt;AE$5,(((Volatilities_Resets!$O11-Volatilities_Resets!$M11)/50)*((Calculator!AB22-Calculator!AD$5)*10000)+Volatilities_Resets!$M11)),IF(AB22&gt;=AD$4,IF(AB22&lt;AE$4,(((Volatilities_Resets!$M11-Volatilities_Resets!$K11)/50)*((Calculator!AB22-Calculator!AD$4)*10000)+Volatilities_Resets!$K11)),IF(AB22&gt;=AD$3,IF(AB22&lt;AE$3,(((Volatilities_Resets!$K11-Volatilities_Resets!$I11)/50)*((Calculator!AB22-Calculator!AD$3)*10000)+Volatilities_Resets!$I11)),IF(AB22&gt;=AD$2,IF(AB22&lt;AE$2,(((Volatilities_Resets!$I11-Volatilities_Resets!$G11)/50)*((Calculator!AB22-Calculator!AD$2)*10000)+Volatilities_Resets!$G11)),"Well, something broke...")))))))))))/10000</f>
        <v>2.6646000000000003E-2</v>
      </c>
      <c r="AE22" s="63">
        <f t="shared" ca="1" si="24"/>
        <v>35325.442820962089</v>
      </c>
      <c r="AF22" s="63">
        <f t="shared" ca="1" si="25"/>
        <v>1.4153088813686633E-3</v>
      </c>
      <c r="AG22" s="63">
        <f t="shared" ca="1" si="45"/>
        <v>303771.92580571183</v>
      </c>
      <c r="AJ22" s="63">
        <f t="shared" ca="1" si="26"/>
        <v>55.489643272463447</v>
      </c>
      <c r="AK22" s="63">
        <f ca="1">SUM($AJ$15:AJ22)</f>
        <v>230.95691559636609</v>
      </c>
      <c r="AM22" s="52">
        <f ca="1">EXP(-AVERAGE(AC$15:AC22)*Z22)</f>
        <v>0.96875707817283874</v>
      </c>
      <c r="AO22" s="52">
        <f t="shared" ca="1" si="27"/>
        <v>8</v>
      </c>
      <c r="AP22" s="71">
        <f t="shared" ca="1" si="28"/>
        <v>45222</v>
      </c>
      <c r="AQ22" s="71">
        <f t="shared" ca="1" si="5"/>
        <v>45253</v>
      </c>
      <c r="AR22" s="72">
        <f t="shared" ca="1" si="6"/>
        <v>31</v>
      </c>
      <c r="AS22" s="73">
        <f ca="1">SUM(AR$15:AR22)/360</f>
        <v>0.68055555555555558</v>
      </c>
      <c r="AT22" s="74">
        <f t="shared" si="7"/>
        <v>25000000</v>
      </c>
      <c r="AU22" s="59">
        <f t="shared" si="29"/>
        <v>0.04</v>
      </c>
      <c r="AV22" s="57">
        <f>Volatilities_Resets!$E11*0.01</f>
        <v>4.3246399999999997E-2</v>
      </c>
      <c r="AW22" s="61">
        <f>IF(AU22=AX$11,Volatilities_Resets!$AA11,IF(AU22&gt;=AW$11,IF(AU22&lt;AX$11,(((Volatilities_Resets!$AA11-Volatilities_Resets!$Y11)/50)*((Calculator!AU22-Calculator!AW$11)*10000)+Volatilities_Resets!$Y11)),IF(AU22&gt;=AW$10,IF(AU22&lt;AX$10,(((Volatilities_Resets!$Y11-Volatilities_Resets!$W11)/50)*((Calculator!AU22-Calculator!AW$10)*10000)+Volatilities_Resets!$W11)),IF(AU22&gt;=AW$9,IF(AU22&lt;AX$9,(((Volatilities_Resets!$W11-Volatilities_Resets!$U11)/50)*((Calculator!AU22-Calculator!AW$9)*10000)+Volatilities_Resets!$U11)),IF(AU22&gt;=AW$8,IF(AU22&lt;AX$8,(((Volatilities_Resets!$U11-Volatilities_Resets!$S11)/50)*((Calculator!AU22-Calculator!AW$8)*10000)+Volatilities_Resets!$S11)),IF(AU22&gt;=AW$7,IF(AU22&lt;AX$7,(((Volatilities_Resets!$S11-Volatilities_Resets!$Q11)/50)*((Calculator!AU22-Calculator!AW$7)*10000)+Volatilities_Resets!$Q11)),IF(AU22&gt;=AW$6,IF(AU22&lt;AX$6,(((Volatilities_Resets!$Q11-Volatilities_Resets!$O11)/50)*((Calculator!AU22-Calculator!AW$6)*10000)+Volatilities_Resets!$O11)),IF(AU22&gt;=AW$5,IF(AU22&lt;AX$5,(((Volatilities_Resets!$O11-Volatilities_Resets!$M11)/50)*((Calculator!AU22-Calculator!AW$5)*10000)+Volatilities_Resets!$M11)),IF(AU22&gt;=AW$4,IF(AU22&lt;AX$4,(((Volatilities_Resets!$M11-Volatilities_Resets!$K11)/50)*((Calculator!AU22-Calculator!AW$4)*10000)+Volatilities_Resets!$K11)),IF(AU22&gt;=AW$3,IF(AU22&lt;AX$3,(((Volatilities_Resets!$K11-Volatilities_Resets!$I11)/50)*((Calculator!AU22-Calculator!AW$3)*10000)+Volatilities_Resets!$I11)),IF(AU22&gt;=AW$2,IF(AU22&lt;AX$2,(((Volatilities_Resets!$I11-Volatilities_Resets!$G11)/50)*((Calculator!AU22-Calculator!AW$2)*10000)+Volatilities_Resets!$G11)),"Well, something broke...")))))))))))/10000</f>
        <v>2.3459000000000001E-2</v>
      </c>
      <c r="AX22" s="63">
        <f t="shared" ca="1" si="30"/>
        <v>19712.697381407776</v>
      </c>
      <c r="AY22" s="63">
        <f t="shared" ca="1" si="31"/>
        <v>7.9121516412893663E-4</v>
      </c>
      <c r="AZ22" s="63">
        <f t="shared" ca="1" si="46"/>
        <v>162762.83375027907</v>
      </c>
      <c r="BC22" s="63">
        <f t="shared" ca="1" si="8"/>
        <v>65.56714707182546</v>
      </c>
      <c r="BD22" s="63">
        <f ca="1">SUM($BC$15:BC22)</f>
        <v>337.13895149100466</v>
      </c>
      <c r="BF22" s="52">
        <f ca="1">EXP(-AVERAGE(AV$15:AV22)*AS22)</f>
        <v>0.96875707817283874</v>
      </c>
      <c r="BH22" s="52">
        <f t="shared" ca="1" si="32"/>
        <v>8</v>
      </c>
      <c r="BI22" s="71">
        <f t="shared" ca="1" si="33"/>
        <v>45222</v>
      </c>
      <c r="BJ22" s="71">
        <f t="shared" ca="1" si="9"/>
        <v>45253</v>
      </c>
      <c r="BK22" s="72">
        <f t="shared" ca="1" si="10"/>
        <v>31</v>
      </c>
      <c r="BL22" s="73">
        <f ca="1">SUM(BK$15:BK22)/360</f>
        <v>0.68055555555555558</v>
      </c>
      <c r="BM22" s="74">
        <f t="shared" si="11"/>
        <v>25000000</v>
      </c>
      <c r="BN22" s="59">
        <f t="shared" si="34"/>
        <v>0.05</v>
      </c>
      <c r="BO22" s="57">
        <f>Volatilities_Resets!$E11*0.01</f>
        <v>4.3246399999999997E-2</v>
      </c>
      <c r="BP22" s="61">
        <f>IF(BN22=BQ$11,Volatilities_Resets!$AA11,IF(BN22&gt;=BP$11,IF(BN22&lt;BQ$11,(((Volatilities_Resets!$AA11-Volatilities_Resets!$Y11)/50)*((Calculator!BN22-Calculator!BP$11)*10000)+Volatilities_Resets!$Y11)),IF(BN22&gt;=BP$10,IF(BN22&lt;BQ$10,(((Volatilities_Resets!$Y11-Volatilities_Resets!$W11)/50)*((Calculator!BN22-Calculator!BP$10)*10000)+Volatilities_Resets!$W11)),IF(BN22&gt;=BP$9,IF(BN22&lt;BQ$9,(((Volatilities_Resets!$W11-Volatilities_Resets!$U11)/50)*((Calculator!BN22-Calculator!BP$9)*10000)+Volatilities_Resets!$U11)),IF(BN22&gt;=BP$8,IF(BN22&lt;BQ$8,(((Volatilities_Resets!$U11-Volatilities_Resets!$S11)/50)*((Calculator!BN22-Calculator!BP$8)*10000)+Volatilities_Resets!$S11)),IF(BN22&gt;=BP$7,IF(BN22&lt;BQ$7,(((Volatilities_Resets!$S11-Volatilities_Resets!$Q11)/50)*((Calculator!BN22-Calculator!BP$7)*10000)+Volatilities_Resets!$Q11)),IF(BN22&gt;=BP$6,IF(BN22&lt;BQ$6,(((Volatilities_Resets!$Q11-Volatilities_Resets!$O11)/50)*((Calculator!BN22-Calculator!BP$6)*10000)+Volatilities_Resets!$O11)),IF(BN22&gt;=BP$5,IF(BN22&lt;BQ$5,(((Volatilities_Resets!$O11-Volatilities_Resets!$M11)/50)*((Calculator!BN22-Calculator!BP$5)*10000)+Volatilities_Resets!$M11)),IF(BN22&gt;=BP$4,IF(BN22&lt;BQ$4,(((Volatilities_Resets!$M11-Volatilities_Resets!$K11)/50)*((Calculator!BN22-Calculator!BP$4)*10000)+Volatilities_Resets!$K11)),IF(BN22&gt;=BP$3,IF(BN22&lt;BQ$3,(((Volatilities_Resets!$K11-Volatilities_Resets!$I11)/50)*((Calculator!BN22-Calculator!BP$3)*10000)+Volatilities_Resets!$I11)),IF(BN22&gt;=BP$2,IF(BN22&lt;BQ$2,(((Volatilities_Resets!$I11-Volatilities_Resets!$G11)/50)*((Calculator!BN22-Calculator!BP$2)*10000)+Volatilities_Resets!$G11)),"Well, something broke...")))))))))))/10000</f>
        <v>2.0181999999999999E-2</v>
      </c>
      <c r="BQ22" s="63">
        <f t="shared" ca="1" si="35"/>
        <v>7934.1347203522919</v>
      </c>
      <c r="BR22" s="63">
        <f t="shared" ca="1" si="36"/>
        <v>3.1989504861136141E-4</v>
      </c>
      <c r="BS22" s="63">
        <f t="shared" ca="1" si="47"/>
        <v>56297.913033492026</v>
      </c>
      <c r="BV22" s="63">
        <f t="shared" ca="1" si="37"/>
        <v>61.265645849358378</v>
      </c>
      <c r="BW22" s="63">
        <f ca="1">SUM($BV$15:BV22)</f>
        <v>370.81428679661076</v>
      </c>
      <c r="BY22" s="52">
        <f ca="1">EXP(-AVERAGE(BO$15:BO22)*BL22)</f>
        <v>0.96875707817283874</v>
      </c>
      <c r="CA22" s="52">
        <f t="shared" ca="1" si="38"/>
        <v>8</v>
      </c>
      <c r="CB22" s="71">
        <f t="shared" ca="1" si="39"/>
        <v>45222</v>
      </c>
      <c r="CC22" s="71">
        <f t="shared" ca="1" si="12"/>
        <v>45253</v>
      </c>
      <c r="CD22" s="72">
        <f t="shared" ca="1" si="13"/>
        <v>31</v>
      </c>
      <c r="CE22" s="73">
        <f ca="1">SUM(CD$15:CD22)/360</f>
        <v>0.68055555555555558</v>
      </c>
      <c r="CF22" s="74">
        <f t="shared" si="14"/>
        <v>25000000</v>
      </c>
      <c r="CG22" s="59">
        <f t="shared" si="40"/>
        <v>0.06</v>
      </c>
      <c r="CH22" s="57">
        <f>Volatilities_Resets!$E11*0.01</f>
        <v>4.3246399999999997E-2</v>
      </c>
      <c r="CI22" s="61">
        <f>IF(CG22=CJ$11,Volatilities_Resets!$AA11,IF(CG22&gt;=CI$11,IF(CG22&lt;CJ$11,(((Volatilities_Resets!$AA11-Volatilities_Resets!$Y11)/50)*((Calculator!CG22-Calculator!CI$11)*10000)+Volatilities_Resets!$Y11)),IF(CG22&gt;=CI$10,IF(CG22&lt;CJ$10,(((Volatilities_Resets!$Y11-Volatilities_Resets!$W11)/50)*((Calculator!CG22-Calculator!CI$10)*10000)+Volatilities_Resets!$W11)),IF(CG22&gt;=CI$9,IF(CG22&lt;CJ$9,(((Volatilities_Resets!$W11-Volatilities_Resets!$U11)/50)*((Calculator!CG22-Calculator!CI$9)*10000)+Volatilities_Resets!$U11)),IF(CG22&gt;=CI$8,IF(CG22&lt;CJ$8,(((Volatilities_Resets!$U11-Volatilities_Resets!$S11)/50)*((Calculator!CG22-Calculator!CI$8)*10000)+Volatilities_Resets!$S11)),IF(CG22&gt;=CI$7,IF(CG22&lt;CJ$7,(((Volatilities_Resets!$S11-Volatilities_Resets!$Q11)/50)*((Calculator!CG22-Calculator!CI$7)*10000)+Volatilities_Resets!$Q11)),IF(CG22&gt;=CI$6,IF(CG22&lt;CJ$6,(((Volatilities_Resets!$Q11-Volatilities_Resets!$O11)/50)*((Calculator!CG22-Calculator!CI$6)*10000)+Volatilities_Resets!$O11)),IF(CG22&gt;=CI$5,IF(CG22&lt;CJ$5,(((Volatilities_Resets!$O11-Volatilities_Resets!$M11)/50)*((Calculator!CG22-Calculator!CI$5)*10000)+Volatilities_Resets!$M11)),IF(CG22&gt;=CI$4,IF(CG22&lt;CJ$4,(((Volatilities_Resets!$M11-Volatilities_Resets!$K11)/50)*((Calculator!CG22-Calculator!CI$4)*10000)+Volatilities_Resets!$K11)),IF(CG22&gt;=CI$3,IF(CG22&lt;CJ$3,(((Volatilities_Resets!$K11-Volatilities_Resets!$I11)/50)*((Calculator!CG22-Calculator!CI$3)*10000)+Volatilities_Resets!$I11)),IF(CG22&gt;=CI$2,IF(CG22&lt;CJ$2,(((Volatilities_Resets!$I11-Volatilities_Resets!$G11)/50)*((Calculator!CG22-Calculator!CI$2)*10000)+Volatilities_Resets!$G11)),"Well, something broke...")))))))))))/10000</f>
        <v>1.8266000000000001E-2</v>
      </c>
      <c r="CJ22" s="63">
        <f t="shared" ca="1" si="41"/>
        <v>2106.5371059810645</v>
      </c>
      <c r="CK22" s="63">
        <f t="shared" ca="1" si="42"/>
        <v>8.5746240071396453E-5</v>
      </c>
      <c r="CL22" s="63">
        <f t="shared" ca="1" si="48"/>
        <v>10854.572639852908</v>
      </c>
      <c r="CO22" s="63">
        <f t="shared" ca="1" si="43"/>
        <v>35.959193043936494</v>
      </c>
      <c r="CP22" s="63">
        <f ca="1">SUM($CO$15:CO22)</f>
        <v>190.24766831269542</v>
      </c>
      <c r="CR22" s="52">
        <f ca="1">EXP(-AVERAGE(CH$15:CH22)*CE22)</f>
        <v>0.96875707817283874</v>
      </c>
      <c r="CT22"/>
      <c r="CU22"/>
      <c r="CV22"/>
      <c r="CW22"/>
      <c r="CX22"/>
      <c r="CY22"/>
      <c r="CZ22"/>
      <c r="DA22"/>
      <c r="DB22"/>
      <c r="DC22"/>
      <c r="DD22"/>
      <c r="DE22"/>
      <c r="DF22"/>
      <c r="DG22"/>
      <c r="DH22"/>
      <c r="DI22"/>
      <c r="DJ22"/>
      <c r="DK22"/>
      <c r="DL22"/>
    </row>
    <row r="23" spans="2:116" ht="15.75" customHeight="1">
      <c r="B23" s="52">
        <v>1</v>
      </c>
      <c r="C23" s="52">
        <f t="shared" ca="1" si="15"/>
        <v>9</v>
      </c>
      <c r="D23" s="71">
        <f t="shared" ca="1" si="16"/>
        <v>45253</v>
      </c>
      <c r="E23" s="71">
        <f t="shared" ca="1" si="0"/>
        <v>45283</v>
      </c>
      <c r="F23" s="72">
        <f t="shared" ca="1" si="1"/>
        <v>30</v>
      </c>
      <c r="G23" s="73">
        <f ca="1">SUM($F$15:F23)/360</f>
        <v>0.76388888888888884</v>
      </c>
      <c r="H23" s="74">
        <f t="shared" si="2"/>
        <v>25000000</v>
      </c>
      <c r="I23" s="59">
        <f>IF('Cap Pricer'!$E$22=DataValidation!$C$2,'Cap Pricer'!$E$23,IF('Cap Pricer'!$E$22=DataValidation!$C$3,VLOOKUP($B23,'Cap Pricer'!$C$25:$E$31,3),""))</f>
        <v>0.02</v>
      </c>
      <c r="J23" s="57">
        <f>Volatilities_Resets!$E12*0.01</f>
        <v>4.2565900000000004E-2</v>
      </c>
      <c r="K23" s="61">
        <f>IF(I23=L$11,Volatilities_Resets!$AA12,IF(I23&gt;=K$11,IF(I23&lt;L$11,(((Volatilities_Resets!$AA12-Volatilities_Resets!$Y12)/50)*((Calculator!I23-Calculator!K$11)*10000)+Volatilities_Resets!$Y12)),IF(I23&gt;=K$10,IF(I23&lt;L$10,(((Volatilities_Resets!$Y12-Volatilities_Resets!$W12)/50)*((Calculator!I23-Calculator!K$10)*10000)+Volatilities_Resets!$W12)),IF(I23&gt;=K$9,IF(I23&lt;L$9,(((Volatilities_Resets!$W12-Volatilities_Resets!$U12)/50)*((Calculator!I23-Calculator!K$9)*10000)+Volatilities_Resets!$U12)),IF(I23&gt;=K$8,IF(I23&lt;L$8,(((Volatilities_Resets!$U12-Volatilities_Resets!$S12)/50)*((Calculator!I23-Calculator!K$8)*10000)+Volatilities_Resets!$S12)),IF(I23&gt;=K$7,IF(I23&lt;L$7,(((Volatilities_Resets!$S12-Volatilities_Resets!$Q12)/50)*((Calculator!I23-Calculator!K$7)*10000)+Volatilities_Resets!$Q12)),IF(I23&gt;=K$6,IF(I23&lt;L$6,(((Volatilities_Resets!$Q12-Volatilities_Resets!$O12)/50)*((Calculator!I23-Calculator!K$6)*10000)+Volatilities_Resets!$O12)),IF(I23&gt;=K$5,IF(I23&lt;L$5,(((Volatilities_Resets!$O12-Volatilities_Resets!$M12)/50)*((Calculator!I23-Calculator!K$5)*10000)+Volatilities_Resets!$M12)),IF(I23&gt;=K$4,IF(I23&lt;L$4,(((Volatilities_Resets!$M12-Volatilities_Resets!$K12)/50)*((Calculator!I23-Calculator!K$4)*10000)+Volatilities_Resets!$K12)),IF(I23&gt;=K$3,IF(I23&lt;L$3,(((Volatilities_Resets!$K12-Volatilities_Resets!$I12)/50)*((Calculator!I23-Calculator!K$3)*10000)+Volatilities_Resets!$I12)),IF(I23&gt;=K$2,IF(I23&lt;L$2,(((Volatilities_Resets!$I12-Volatilities_Resets!$G12)/50)*((Calculator!I23-Calculator!K$2)*10000)+Volatilities_Resets!$G12)),"Well, something broke...")))))))))))/10000</f>
        <v>2.8843000000000001E-2</v>
      </c>
      <c r="L23" s="47">
        <f t="shared" ca="1" si="17"/>
        <v>50519.567479571961</v>
      </c>
      <c r="M23" s="63">
        <f t="shared" ca="1" si="18"/>
        <v>2.0226642788472348E-3</v>
      </c>
      <c r="N23" s="63">
        <f t="shared" ca="1" si="44"/>
        <v>508074.88876586535</v>
      </c>
      <c r="Q23" s="63">
        <f t="shared" ca="1" si="19"/>
        <v>45.408768880874021</v>
      </c>
      <c r="R23" s="63">
        <f ca="1">SUM($Q$15:Q23)</f>
        <v>188.38244755415323</v>
      </c>
      <c r="T23" s="52">
        <f ca="1">EXP(-AVERAGE(J$15:J23)*G23)</f>
        <v>0.96533290067002708</v>
      </c>
      <c r="U23" s="57"/>
      <c r="V23" s="52">
        <f t="shared" ca="1" si="20"/>
        <v>9</v>
      </c>
      <c r="W23" s="71">
        <f t="shared" ca="1" si="21"/>
        <v>45253</v>
      </c>
      <c r="X23" s="71">
        <f t="shared" ca="1" si="3"/>
        <v>45283</v>
      </c>
      <c r="Y23" s="72">
        <f t="shared" ca="1" si="4"/>
        <v>30</v>
      </c>
      <c r="Z23" s="73">
        <f ca="1">SUM(Y$15:Y23)/360</f>
        <v>0.76388888888888884</v>
      </c>
      <c r="AA23" s="74">
        <f t="shared" si="22"/>
        <v>25000000</v>
      </c>
      <c r="AB23" s="59">
        <f t="shared" si="23"/>
        <v>0.03</v>
      </c>
      <c r="AC23" s="57">
        <f>Volatilities_Resets!$E12*0.01</f>
        <v>4.2565900000000004E-2</v>
      </c>
      <c r="AD23" s="61">
        <f>IF(AB23=AE$11,Volatilities_Resets!$AA12,IF(AB23&gt;=AD$11,IF(AB23&lt;AE$11,(((Volatilities_Resets!$AA12-Volatilities_Resets!$Y12)/50)*((Calculator!AB23-Calculator!AD$11)*10000)+Volatilities_Resets!$Y12)),IF(AB23&gt;=AD$10,IF(AB23&lt;AE$10,(((Volatilities_Resets!$Y12-Volatilities_Resets!$W12)/50)*((Calculator!AB23-Calculator!AD$10)*10000)+Volatilities_Resets!$W12)),IF(AB23&gt;=AD$9,IF(AB23&lt;AE$9,(((Volatilities_Resets!$W12-Volatilities_Resets!$U12)/50)*((Calculator!AB23-Calculator!AD$9)*10000)+Volatilities_Resets!$U12)),IF(AB23&gt;=AD$8,IF(AB23&lt;AE$8,(((Volatilities_Resets!$U12-Volatilities_Resets!$S12)/50)*((Calculator!AB23-Calculator!AD$8)*10000)+Volatilities_Resets!$S12)),IF(AB23&gt;=AD$7,IF(AB23&lt;AE$7,(((Volatilities_Resets!$S12-Volatilities_Resets!$Q12)/50)*((Calculator!AB23-Calculator!AD$7)*10000)+Volatilities_Resets!$Q12)),IF(AB23&gt;=AD$6,IF(AB23&lt;AE$6,(((Volatilities_Resets!$Q12-Volatilities_Resets!$O12)/50)*((Calculator!AB23-Calculator!AD$6)*10000)+Volatilities_Resets!$O12)),IF(AB23&gt;=AD$5,IF(AB23&lt;AE$5,(((Volatilities_Resets!$O12-Volatilities_Resets!$M12)/50)*((Calculator!AB23-Calculator!AD$5)*10000)+Volatilities_Resets!$M12)),IF(AB23&gt;=AD$4,IF(AB23&lt;AE$4,(((Volatilities_Resets!$M12-Volatilities_Resets!$K12)/50)*((Calculator!AB23-Calculator!AD$4)*10000)+Volatilities_Resets!$K12)),IF(AB23&gt;=AD$3,IF(AB23&lt;AE$3,(((Volatilities_Resets!$K12-Volatilities_Resets!$I12)/50)*((Calculator!AB23-Calculator!AD$3)*10000)+Volatilities_Resets!$I12)),IF(AB23&gt;=AD$2,IF(AB23&lt;AE$2,(((Volatilities_Resets!$I12-Volatilities_Resets!$G12)/50)*((Calculator!AB23-Calculator!AD$2)*10000)+Volatilities_Resets!$G12)),"Well, something broke...")))))))))))/10000</f>
        <v>2.6643E-2</v>
      </c>
      <c r="AE23" s="63">
        <f t="shared" ca="1" si="24"/>
        <v>33974.687456520456</v>
      </c>
      <c r="AF23" s="63">
        <f t="shared" ca="1" si="25"/>
        <v>1.3614136854565454E-3</v>
      </c>
      <c r="AG23" s="63">
        <f t="shared" ca="1" si="45"/>
        <v>337746.61326223228</v>
      </c>
      <c r="AJ23" s="63">
        <f t="shared" ca="1" si="26"/>
        <v>58.55195808049185</v>
      </c>
      <c r="AK23" s="63">
        <f ca="1">SUM($AJ$15:AJ23)</f>
        <v>289.50887367685795</v>
      </c>
      <c r="AM23" s="52">
        <f ca="1">EXP(-AVERAGE(AC$15:AC23)*Z23)</f>
        <v>0.96533290067002708</v>
      </c>
      <c r="AO23" s="52">
        <f t="shared" ca="1" si="27"/>
        <v>9</v>
      </c>
      <c r="AP23" s="71">
        <f t="shared" ca="1" si="28"/>
        <v>45253</v>
      </c>
      <c r="AQ23" s="71">
        <f t="shared" ca="1" si="5"/>
        <v>45283</v>
      </c>
      <c r="AR23" s="72">
        <f t="shared" ca="1" si="6"/>
        <v>30</v>
      </c>
      <c r="AS23" s="73">
        <f ca="1">SUM(AR$15:AR23)/360</f>
        <v>0.76388888888888884</v>
      </c>
      <c r="AT23" s="74">
        <f t="shared" si="7"/>
        <v>25000000</v>
      </c>
      <c r="AU23" s="59">
        <f t="shared" si="29"/>
        <v>0.04</v>
      </c>
      <c r="AV23" s="57">
        <f>Volatilities_Resets!$E12*0.01</f>
        <v>4.2565900000000004E-2</v>
      </c>
      <c r="AW23" s="61">
        <f>IF(AU23=AX$11,Volatilities_Resets!$AA12,IF(AU23&gt;=AW$11,IF(AU23&lt;AX$11,(((Volatilities_Resets!$AA12-Volatilities_Resets!$Y12)/50)*((Calculator!AU23-Calculator!AW$11)*10000)+Volatilities_Resets!$Y12)),IF(AU23&gt;=AW$10,IF(AU23&lt;AX$10,(((Volatilities_Resets!$Y12-Volatilities_Resets!$W12)/50)*((Calculator!AU23-Calculator!AW$10)*10000)+Volatilities_Resets!$W12)),IF(AU23&gt;=AW$9,IF(AU23&lt;AX$9,(((Volatilities_Resets!$W12-Volatilities_Resets!$U12)/50)*((Calculator!AU23-Calculator!AW$9)*10000)+Volatilities_Resets!$U12)),IF(AU23&gt;=AW$8,IF(AU23&lt;AX$8,(((Volatilities_Resets!$U12-Volatilities_Resets!$S12)/50)*((Calculator!AU23-Calculator!AW$8)*10000)+Volatilities_Resets!$S12)),IF(AU23&gt;=AW$7,IF(AU23&lt;AX$7,(((Volatilities_Resets!$S12-Volatilities_Resets!$Q12)/50)*((Calculator!AU23-Calculator!AW$7)*10000)+Volatilities_Resets!$Q12)),IF(AU23&gt;=AW$6,IF(AU23&lt;AX$6,(((Volatilities_Resets!$Q12-Volatilities_Resets!$O12)/50)*((Calculator!AU23-Calculator!AW$6)*10000)+Volatilities_Resets!$O12)),IF(AU23&gt;=AW$5,IF(AU23&lt;AX$5,(((Volatilities_Resets!$O12-Volatilities_Resets!$M12)/50)*((Calculator!AU23-Calculator!AW$5)*10000)+Volatilities_Resets!$M12)),IF(AU23&gt;=AW$4,IF(AU23&lt;AX$4,(((Volatilities_Resets!$M12-Volatilities_Resets!$K12)/50)*((Calculator!AU23-Calculator!AW$4)*10000)+Volatilities_Resets!$K12)),IF(AU23&gt;=AW$3,IF(AU23&lt;AX$3,(((Volatilities_Resets!$K12-Volatilities_Resets!$I12)/50)*((Calculator!AU23-Calculator!AW$3)*10000)+Volatilities_Resets!$I12)),IF(AU23&gt;=AW$2,IF(AU23&lt;AX$2,(((Volatilities_Resets!$I12-Volatilities_Resets!$G12)/50)*((Calculator!AU23-Calculator!AW$2)*10000)+Volatilities_Resets!$G12)),"Well, something broke...")))))))))))/10000</f>
        <v>2.3441E-2</v>
      </c>
      <c r="AX23" s="63">
        <f t="shared" ca="1" si="30"/>
        <v>19146.453880975965</v>
      </c>
      <c r="AY23" s="63">
        <f t="shared" ca="1" si="31"/>
        <v>7.6864125927349723E-4</v>
      </c>
      <c r="AZ23" s="63">
        <f t="shared" ca="1" si="46"/>
        <v>181909.28763125502</v>
      </c>
      <c r="BC23" s="63">
        <f t="shared" ca="1" si="8"/>
        <v>67.165547261258965</v>
      </c>
      <c r="BD23" s="63">
        <f ca="1">SUM($BC$15:BC23)</f>
        <v>404.30449875226361</v>
      </c>
      <c r="BF23" s="52">
        <f ca="1">EXP(-AVERAGE(AV$15:AV23)*AS23)</f>
        <v>0.96533290067002708</v>
      </c>
      <c r="BH23" s="52">
        <f t="shared" ca="1" si="32"/>
        <v>9</v>
      </c>
      <c r="BI23" s="71">
        <f t="shared" ca="1" si="33"/>
        <v>45253</v>
      </c>
      <c r="BJ23" s="71">
        <f t="shared" ca="1" si="9"/>
        <v>45283</v>
      </c>
      <c r="BK23" s="72">
        <f t="shared" ca="1" si="10"/>
        <v>30</v>
      </c>
      <c r="BL23" s="73">
        <f ca="1">SUM(BK$15:BK23)/360</f>
        <v>0.76388888888888884</v>
      </c>
      <c r="BM23" s="74">
        <f t="shared" si="11"/>
        <v>25000000</v>
      </c>
      <c r="BN23" s="59">
        <f t="shared" si="34"/>
        <v>0.05</v>
      </c>
      <c r="BO23" s="57">
        <f>Volatilities_Resets!$E12*0.01</f>
        <v>4.2565900000000004E-2</v>
      </c>
      <c r="BP23" s="61">
        <f>IF(BN23=BQ$11,Volatilities_Resets!$AA12,IF(BN23&gt;=BP$11,IF(BN23&lt;BQ$11,(((Volatilities_Resets!$AA12-Volatilities_Resets!$Y12)/50)*((Calculator!BN23-Calculator!BP$11)*10000)+Volatilities_Resets!$Y12)),IF(BN23&gt;=BP$10,IF(BN23&lt;BQ$10,(((Volatilities_Resets!$Y12-Volatilities_Resets!$W12)/50)*((Calculator!BN23-Calculator!BP$10)*10000)+Volatilities_Resets!$W12)),IF(BN23&gt;=BP$9,IF(BN23&lt;BQ$9,(((Volatilities_Resets!$W12-Volatilities_Resets!$U12)/50)*((Calculator!BN23-Calculator!BP$9)*10000)+Volatilities_Resets!$U12)),IF(BN23&gt;=BP$8,IF(BN23&lt;BQ$8,(((Volatilities_Resets!$U12-Volatilities_Resets!$S12)/50)*((Calculator!BN23-Calculator!BP$8)*10000)+Volatilities_Resets!$S12)),IF(BN23&gt;=BP$7,IF(BN23&lt;BQ$7,(((Volatilities_Resets!$S12-Volatilities_Resets!$Q12)/50)*((Calculator!BN23-Calculator!BP$7)*10000)+Volatilities_Resets!$Q12)),IF(BN23&gt;=BP$6,IF(BN23&lt;BQ$6,(((Volatilities_Resets!$Q12-Volatilities_Resets!$O12)/50)*((Calculator!BN23-Calculator!BP$6)*10000)+Volatilities_Resets!$O12)),IF(BN23&gt;=BP$5,IF(BN23&lt;BQ$5,(((Volatilities_Resets!$O12-Volatilities_Resets!$M12)/50)*((Calculator!BN23-Calculator!BP$5)*10000)+Volatilities_Resets!$M12)),IF(BN23&gt;=BP$4,IF(BN23&lt;BQ$4,(((Volatilities_Resets!$M12-Volatilities_Resets!$K12)/50)*((Calculator!BN23-Calculator!BP$4)*10000)+Volatilities_Resets!$K12)),IF(BN23&gt;=BP$3,IF(BN23&lt;BQ$3,(((Volatilities_Resets!$K12-Volatilities_Resets!$I12)/50)*((Calculator!BN23-Calculator!BP$3)*10000)+Volatilities_Resets!$I12)),IF(BN23&gt;=BP$2,IF(BN23&lt;BQ$2,(((Volatilities_Resets!$I12-Volatilities_Resets!$G12)/50)*((Calculator!BN23-Calculator!BP$2)*10000)+Volatilities_Resets!$G12)),"Well, something broke...")))))))))))/10000</f>
        <v>2.0150999999999999E-2</v>
      </c>
      <c r="BQ23" s="63">
        <f t="shared" ca="1" si="35"/>
        <v>7895.556354873027</v>
      </c>
      <c r="BR23" s="63">
        <f t="shared" ca="1" si="36"/>
        <v>3.1838923763616615E-4</v>
      </c>
      <c r="BS23" s="63">
        <f t="shared" ca="1" si="47"/>
        <v>64193.469388365054</v>
      </c>
      <c r="BV23" s="63">
        <f t="shared" ca="1" si="37"/>
        <v>61.949839282725733</v>
      </c>
      <c r="BW23" s="63">
        <f ca="1">SUM($BV$15:BV23)</f>
        <v>432.76412607933651</v>
      </c>
      <c r="BY23" s="52">
        <f ca="1">EXP(-AVERAGE(BO$15:BO23)*BL23)</f>
        <v>0.96533290067002708</v>
      </c>
      <c r="CA23" s="52">
        <f t="shared" ca="1" si="38"/>
        <v>9</v>
      </c>
      <c r="CB23" s="71">
        <f t="shared" ca="1" si="39"/>
        <v>45253</v>
      </c>
      <c r="CC23" s="71">
        <f t="shared" ca="1" si="12"/>
        <v>45283</v>
      </c>
      <c r="CD23" s="72">
        <f t="shared" ca="1" si="13"/>
        <v>30</v>
      </c>
      <c r="CE23" s="73">
        <f ca="1">SUM(CD$15:CD23)/360</f>
        <v>0.76388888888888884</v>
      </c>
      <c r="CF23" s="74">
        <f t="shared" si="14"/>
        <v>25000000</v>
      </c>
      <c r="CG23" s="59">
        <f t="shared" si="40"/>
        <v>0.06</v>
      </c>
      <c r="CH23" s="57">
        <f>Volatilities_Resets!$E12*0.01</f>
        <v>4.2565900000000004E-2</v>
      </c>
      <c r="CI23" s="61">
        <f>IF(CG23=CJ$11,Volatilities_Resets!$AA12,IF(CG23&gt;=CI$11,IF(CG23&lt;CJ$11,(((Volatilities_Resets!$AA12-Volatilities_Resets!$Y12)/50)*((Calculator!CG23-Calculator!CI$11)*10000)+Volatilities_Resets!$Y12)),IF(CG23&gt;=CI$10,IF(CG23&lt;CJ$10,(((Volatilities_Resets!$Y12-Volatilities_Resets!$W12)/50)*((Calculator!CG23-Calculator!CI$10)*10000)+Volatilities_Resets!$W12)),IF(CG23&gt;=CI$9,IF(CG23&lt;CJ$9,(((Volatilities_Resets!$W12-Volatilities_Resets!$U12)/50)*((Calculator!CG23-Calculator!CI$9)*10000)+Volatilities_Resets!$U12)),IF(CG23&gt;=CI$8,IF(CG23&lt;CJ$8,(((Volatilities_Resets!$U12-Volatilities_Resets!$S12)/50)*((Calculator!CG23-Calculator!CI$8)*10000)+Volatilities_Resets!$S12)),IF(CG23&gt;=CI$7,IF(CG23&lt;CJ$7,(((Volatilities_Resets!$S12-Volatilities_Resets!$Q12)/50)*((Calculator!CG23-Calculator!CI$7)*10000)+Volatilities_Resets!$Q12)),IF(CG23&gt;=CI$6,IF(CG23&lt;CJ$6,(((Volatilities_Resets!$Q12-Volatilities_Resets!$O12)/50)*((Calculator!CG23-Calculator!CI$6)*10000)+Volatilities_Resets!$O12)),IF(CG23&gt;=CI$5,IF(CG23&lt;CJ$5,(((Volatilities_Resets!$O12-Volatilities_Resets!$M12)/50)*((Calculator!CG23-Calculator!CI$5)*10000)+Volatilities_Resets!$M12)),IF(CG23&gt;=CI$4,IF(CG23&lt;CJ$4,(((Volatilities_Resets!$M12-Volatilities_Resets!$K12)/50)*((Calculator!CG23-Calculator!CI$4)*10000)+Volatilities_Resets!$K12)),IF(CG23&gt;=CI$3,IF(CG23&lt;CJ$3,(((Volatilities_Resets!$K12-Volatilities_Resets!$I12)/50)*((Calculator!CG23-Calculator!CI$3)*10000)+Volatilities_Resets!$I12)),IF(CG23&gt;=CI$2,IF(CG23&lt;CJ$2,(((Volatilities_Resets!$I12-Volatilities_Resets!$G12)/50)*((Calculator!CG23-Calculator!CI$2)*10000)+Volatilities_Resets!$G12)),"Well, something broke...")))))))))))/10000</f>
        <v>1.8225999999999999E-2</v>
      </c>
      <c r="CJ23" s="63">
        <f t="shared" ca="1" si="41"/>
        <v>2222.5759973297445</v>
      </c>
      <c r="CK23" s="63">
        <f t="shared" ca="1" si="42"/>
        <v>9.0449152161816134E-5</v>
      </c>
      <c r="CL23" s="63">
        <f t="shared" ca="1" si="48"/>
        <v>13077.148637182652</v>
      </c>
      <c r="CO23" s="63">
        <f t="shared" ca="1" si="43"/>
        <v>37.312826025864766</v>
      </c>
      <c r="CP23" s="63">
        <f ca="1">SUM($CO$15:CO23)</f>
        <v>227.5604943385602</v>
      </c>
      <c r="CR23" s="52">
        <f ca="1">EXP(-AVERAGE(CH$15:CH23)*CE23)</f>
        <v>0.96533290067002708</v>
      </c>
      <c r="CT23"/>
      <c r="CU23"/>
      <c r="CV23"/>
      <c r="CW23"/>
      <c r="CX23"/>
      <c r="CY23"/>
      <c r="CZ23"/>
      <c r="DA23"/>
      <c r="DB23"/>
      <c r="DC23"/>
      <c r="DD23"/>
      <c r="DE23"/>
      <c r="DF23"/>
      <c r="DG23"/>
      <c r="DH23"/>
      <c r="DI23"/>
      <c r="DJ23"/>
      <c r="DK23"/>
      <c r="DL23"/>
    </row>
    <row r="24" spans="2:116" ht="15.75" customHeight="1">
      <c r="B24" s="52">
        <v>1</v>
      </c>
      <c r="C24" s="52">
        <f t="shared" ca="1" si="15"/>
        <v>10</v>
      </c>
      <c r="D24" s="71">
        <f t="shared" ca="1" si="16"/>
        <v>45283</v>
      </c>
      <c r="E24" s="71">
        <f t="shared" ca="1" si="0"/>
        <v>45314</v>
      </c>
      <c r="F24" s="72">
        <f t="shared" ca="1" si="1"/>
        <v>31</v>
      </c>
      <c r="G24" s="73">
        <f ca="1">SUM($F$15:F24)/360</f>
        <v>0.85</v>
      </c>
      <c r="H24" s="74">
        <f t="shared" si="2"/>
        <v>25000000</v>
      </c>
      <c r="I24" s="59">
        <f>IF('Cap Pricer'!$E$22=DataValidation!$C$2,'Cap Pricer'!$E$23,IF('Cap Pricer'!$E$22=DataValidation!$C$3,VLOOKUP($B24,'Cap Pricer'!$C$25:$E$31,3),""))</f>
        <v>0.02</v>
      </c>
      <c r="J24" s="57">
        <f>Volatilities_Resets!$E13*0.01</f>
        <v>4.1450800000000003E-2</v>
      </c>
      <c r="K24" s="61">
        <f>IF(I24=L$11,Volatilities_Resets!$AA13,IF(I24&gt;=K$11,IF(I24&lt;L$11,(((Volatilities_Resets!$AA13-Volatilities_Resets!$Y13)/50)*((Calculator!I24-Calculator!K$11)*10000)+Volatilities_Resets!$Y13)),IF(I24&gt;=K$10,IF(I24&lt;L$10,(((Volatilities_Resets!$Y13-Volatilities_Resets!$W13)/50)*((Calculator!I24-Calculator!K$10)*10000)+Volatilities_Resets!$W13)),IF(I24&gt;=K$9,IF(I24&lt;L$9,(((Volatilities_Resets!$W13-Volatilities_Resets!$U13)/50)*((Calculator!I24-Calculator!K$9)*10000)+Volatilities_Resets!$U13)),IF(I24&gt;=K$8,IF(I24&lt;L$8,(((Volatilities_Resets!$U13-Volatilities_Resets!$S13)/50)*((Calculator!I24-Calculator!K$8)*10000)+Volatilities_Resets!$S13)),IF(I24&gt;=K$7,IF(I24&lt;L$7,(((Volatilities_Resets!$S13-Volatilities_Resets!$Q13)/50)*((Calculator!I24-Calculator!K$7)*10000)+Volatilities_Resets!$Q13)),IF(I24&gt;=K$6,IF(I24&lt;L$6,(((Volatilities_Resets!$Q13-Volatilities_Resets!$O13)/50)*((Calculator!I24-Calculator!K$6)*10000)+Volatilities_Resets!$O13)),IF(I24&gt;=K$5,IF(I24&lt;L$5,(((Volatilities_Resets!$O13-Volatilities_Resets!$M13)/50)*((Calculator!I24-Calculator!K$5)*10000)+Volatilities_Resets!$M13)),IF(I24&gt;=K$4,IF(I24&lt;L$4,(((Volatilities_Resets!$M13-Volatilities_Resets!$K13)/50)*((Calculator!I24-Calculator!K$4)*10000)+Volatilities_Resets!$K13)),IF(I24&gt;=K$3,IF(I24&lt;L$3,(((Volatilities_Resets!$K13-Volatilities_Resets!$I13)/50)*((Calculator!I24-Calculator!K$3)*10000)+Volatilities_Resets!$I13)),IF(I24&gt;=K$2,IF(I24&lt;L$2,(((Volatilities_Resets!$I13-Volatilities_Resets!$G13)/50)*((Calculator!I24-Calculator!K$2)*10000)+Volatilities_Resets!$G13)),"Well, something broke...")))))))))))/10000</f>
        <v>2.8991999999999997E-2</v>
      </c>
      <c r="L24" s="47">
        <f t="shared" ca="1" si="17"/>
        <v>51042.732970272664</v>
      </c>
      <c r="M24" s="63">
        <f t="shared" ca="1" si="18"/>
        <v>2.0439195263120512E-3</v>
      </c>
      <c r="N24" s="63">
        <f t="shared" ca="1" si="44"/>
        <v>559117.62173613801</v>
      </c>
      <c r="Q24" s="63">
        <f t="shared" ca="1" si="19"/>
        <v>53.149320913324665</v>
      </c>
      <c r="R24" s="63">
        <f ca="1">SUM($Q$15:Q24)</f>
        <v>241.53176846747789</v>
      </c>
      <c r="T24" s="52">
        <f ca="1">EXP(-AVERAGE(J$15:J24)*G24)</f>
        <v>0.96188834552049329</v>
      </c>
      <c r="U24" s="57"/>
      <c r="V24" s="52">
        <f t="shared" ca="1" si="20"/>
        <v>10</v>
      </c>
      <c r="W24" s="71">
        <f t="shared" ca="1" si="21"/>
        <v>45283</v>
      </c>
      <c r="X24" s="71">
        <f t="shared" ca="1" si="3"/>
        <v>45314</v>
      </c>
      <c r="Y24" s="72">
        <f t="shared" ca="1" si="4"/>
        <v>31</v>
      </c>
      <c r="Z24" s="73">
        <f ca="1">SUM(Y$15:Y24)/360</f>
        <v>0.85</v>
      </c>
      <c r="AA24" s="74">
        <f t="shared" si="22"/>
        <v>25000000</v>
      </c>
      <c r="AB24" s="59">
        <f t="shared" si="23"/>
        <v>0.03</v>
      </c>
      <c r="AC24" s="57">
        <f>Volatilities_Resets!$E13*0.01</f>
        <v>4.1450800000000003E-2</v>
      </c>
      <c r="AD24" s="61">
        <f>IF(AB24=AE$11,Volatilities_Resets!$AA13,IF(AB24&gt;=AD$11,IF(AB24&lt;AE$11,(((Volatilities_Resets!$AA13-Volatilities_Resets!$Y13)/50)*((Calculator!AB24-Calculator!AD$11)*10000)+Volatilities_Resets!$Y13)),IF(AB24&gt;=AD$10,IF(AB24&lt;AE$10,(((Volatilities_Resets!$Y13-Volatilities_Resets!$W13)/50)*((Calculator!AB24-Calculator!AD$10)*10000)+Volatilities_Resets!$W13)),IF(AB24&gt;=AD$9,IF(AB24&lt;AE$9,(((Volatilities_Resets!$W13-Volatilities_Resets!$U13)/50)*((Calculator!AB24-Calculator!AD$9)*10000)+Volatilities_Resets!$U13)),IF(AB24&gt;=AD$8,IF(AB24&lt;AE$8,(((Volatilities_Resets!$U13-Volatilities_Resets!$S13)/50)*((Calculator!AB24-Calculator!AD$8)*10000)+Volatilities_Resets!$S13)),IF(AB24&gt;=AD$7,IF(AB24&lt;AE$7,(((Volatilities_Resets!$S13-Volatilities_Resets!$Q13)/50)*((Calculator!AB24-Calculator!AD$7)*10000)+Volatilities_Resets!$Q13)),IF(AB24&gt;=AD$6,IF(AB24&lt;AE$6,(((Volatilities_Resets!$Q13-Volatilities_Resets!$O13)/50)*((Calculator!AB24-Calculator!AD$6)*10000)+Volatilities_Resets!$O13)),IF(AB24&gt;=AD$5,IF(AB24&lt;AE$5,(((Volatilities_Resets!$O13-Volatilities_Resets!$M13)/50)*((Calculator!AB24-Calculator!AD$5)*10000)+Volatilities_Resets!$M13)),IF(AB24&gt;=AD$4,IF(AB24&lt;AE$4,(((Volatilities_Resets!$M13-Volatilities_Resets!$K13)/50)*((Calculator!AB24-Calculator!AD$4)*10000)+Volatilities_Resets!$K13)),IF(AB24&gt;=AD$3,IF(AB24&lt;AE$3,(((Volatilities_Resets!$K13-Volatilities_Resets!$I13)/50)*((Calculator!AB24-Calculator!AD$3)*10000)+Volatilities_Resets!$I13)),IF(AB24&gt;=AD$2,IF(AB24&lt;AE$2,(((Volatilities_Resets!$I13-Volatilities_Resets!$G13)/50)*((Calculator!AB24-Calculator!AD$2)*10000)+Volatilities_Resets!$G13)),"Well, something broke...")))))))))))/10000</f>
        <v>2.6785000000000003E-2</v>
      </c>
      <c r="AE24" s="63">
        <f t="shared" ca="1" si="24"/>
        <v>34410.70995085562</v>
      </c>
      <c r="AF24" s="63">
        <f t="shared" ca="1" si="25"/>
        <v>1.3791654754121778E-3</v>
      </c>
      <c r="AG24" s="63">
        <f t="shared" ca="1" si="45"/>
        <v>372157.32321308792</v>
      </c>
      <c r="AJ24" s="63">
        <f t="shared" ca="1" si="26"/>
        <v>65.819070766020857</v>
      </c>
      <c r="AK24" s="63">
        <f ca="1">SUM($AJ$15:AJ24)</f>
        <v>355.32794444287879</v>
      </c>
      <c r="AM24" s="52">
        <f ca="1">EXP(-AVERAGE(AC$15:AC24)*Z24)</f>
        <v>0.96188834552049329</v>
      </c>
      <c r="AO24" s="52">
        <f t="shared" ca="1" si="27"/>
        <v>10</v>
      </c>
      <c r="AP24" s="71">
        <f t="shared" ca="1" si="28"/>
        <v>45283</v>
      </c>
      <c r="AQ24" s="71">
        <f t="shared" ca="1" si="5"/>
        <v>45314</v>
      </c>
      <c r="AR24" s="72">
        <f t="shared" ca="1" si="6"/>
        <v>31</v>
      </c>
      <c r="AS24" s="73">
        <f ca="1">SUM(AR$15:AR24)/360</f>
        <v>0.85</v>
      </c>
      <c r="AT24" s="74">
        <f t="shared" si="7"/>
        <v>25000000</v>
      </c>
      <c r="AU24" s="59">
        <f t="shared" si="29"/>
        <v>0.04</v>
      </c>
      <c r="AV24" s="57">
        <f>Volatilities_Resets!$E13*0.01</f>
        <v>4.1450800000000003E-2</v>
      </c>
      <c r="AW24" s="61">
        <f>IF(AU24=AX$11,Volatilities_Resets!$AA13,IF(AU24&gt;=AW$11,IF(AU24&lt;AX$11,(((Volatilities_Resets!$AA13-Volatilities_Resets!$Y13)/50)*((Calculator!AU24-Calculator!AW$11)*10000)+Volatilities_Resets!$Y13)),IF(AU24&gt;=AW$10,IF(AU24&lt;AX$10,(((Volatilities_Resets!$Y13-Volatilities_Resets!$W13)/50)*((Calculator!AU24-Calculator!AW$10)*10000)+Volatilities_Resets!$W13)),IF(AU24&gt;=AW$9,IF(AU24&lt;AX$9,(((Volatilities_Resets!$W13-Volatilities_Resets!$U13)/50)*((Calculator!AU24-Calculator!AW$9)*10000)+Volatilities_Resets!$U13)),IF(AU24&gt;=AW$8,IF(AU24&lt;AX$8,(((Volatilities_Resets!$U13-Volatilities_Resets!$S13)/50)*((Calculator!AU24-Calculator!AW$8)*10000)+Volatilities_Resets!$S13)),IF(AU24&gt;=AW$7,IF(AU24&lt;AX$7,(((Volatilities_Resets!$S13-Volatilities_Resets!$Q13)/50)*((Calculator!AU24-Calculator!AW$7)*10000)+Volatilities_Resets!$Q13)),IF(AU24&gt;=AW$6,IF(AU24&lt;AX$6,(((Volatilities_Resets!$Q13-Volatilities_Resets!$O13)/50)*((Calculator!AU24-Calculator!AW$6)*10000)+Volatilities_Resets!$O13)),IF(AU24&gt;=AW$5,IF(AU24&lt;AX$5,(((Volatilities_Resets!$O13-Volatilities_Resets!$M13)/50)*((Calculator!AU24-Calculator!AW$5)*10000)+Volatilities_Resets!$M13)),IF(AU24&gt;=AW$4,IF(AU24&lt;AX$4,(((Volatilities_Resets!$M13-Volatilities_Resets!$K13)/50)*((Calculator!AU24-Calculator!AW$4)*10000)+Volatilities_Resets!$K13)),IF(AU24&gt;=AW$3,IF(AU24&lt;AX$3,(((Volatilities_Resets!$K13-Volatilities_Resets!$I13)/50)*((Calculator!AU24-Calculator!AW$3)*10000)+Volatilities_Resets!$I13)),IF(AU24&gt;=AW$2,IF(AU24&lt;AX$2,(((Volatilities_Resets!$I13-Volatilities_Resets!$G13)/50)*((Calculator!AU24-Calculator!AW$2)*10000)+Volatilities_Resets!$G13)),"Well, something broke...")))))))))))/10000</f>
        <v>2.3562E-2</v>
      </c>
      <c r="AX24" s="63">
        <f t="shared" ca="1" si="30"/>
        <v>19487.615131518731</v>
      </c>
      <c r="AY24" s="63">
        <f t="shared" ca="1" si="31"/>
        <v>7.8254436262017795E-4</v>
      </c>
      <c r="AZ24" s="63">
        <f t="shared" ca="1" si="46"/>
        <v>201396.90276277374</v>
      </c>
      <c r="BC24" s="63">
        <f t="shared" ca="1" si="8"/>
        <v>73.097679431114912</v>
      </c>
      <c r="BD24" s="63">
        <f ca="1">SUM($BC$15:BC24)</f>
        <v>477.40217818337851</v>
      </c>
      <c r="BF24" s="52">
        <f ca="1">EXP(-AVERAGE(AV$15:AV24)*AS24)</f>
        <v>0.96188834552049329</v>
      </c>
      <c r="BH24" s="52">
        <f t="shared" ca="1" si="32"/>
        <v>10</v>
      </c>
      <c r="BI24" s="71">
        <f t="shared" ca="1" si="33"/>
        <v>45283</v>
      </c>
      <c r="BJ24" s="71">
        <f t="shared" ca="1" si="9"/>
        <v>45314</v>
      </c>
      <c r="BK24" s="72">
        <f t="shared" ca="1" si="10"/>
        <v>31</v>
      </c>
      <c r="BL24" s="73">
        <f ca="1">SUM(BK$15:BK24)/360</f>
        <v>0.85</v>
      </c>
      <c r="BM24" s="74">
        <f t="shared" si="11"/>
        <v>25000000</v>
      </c>
      <c r="BN24" s="59">
        <f t="shared" si="34"/>
        <v>0.05</v>
      </c>
      <c r="BO24" s="57">
        <f>Volatilities_Resets!$E13*0.01</f>
        <v>4.1450800000000003E-2</v>
      </c>
      <c r="BP24" s="61">
        <f>IF(BN24=BQ$11,Volatilities_Resets!$AA13,IF(BN24&gt;=BP$11,IF(BN24&lt;BQ$11,(((Volatilities_Resets!$AA13-Volatilities_Resets!$Y13)/50)*((Calculator!BN24-Calculator!BP$11)*10000)+Volatilities_Resets!$Y13)),IF(BN24&gt;=BP$10,IF(BN24&lt;BQ$10,(((Volatilities_Resets!$Y13-Volatilities_Resets!$W13)/50)*((Calculator!BN24-Calculator!BP$10)*10000)+Volatilities_Resets!$W13)),IF(BN24&gt;=BP$9,IF(BN24&lt;BQ$9,(((Volatilities_Resets!$W13-Volatilities_Resets!$U13)/50)*((Calculator!BN24-Calculator!BP$9)*10000)+Volatilities_Resets!$U13)),IF(BN24&gt;=BP$8,IF(BN24&lt;BQ$8,(((Volatilities_Resets!$U13-Volatilities_Resets!$S13)/50)*((Calculator!BN24-Calculator!BP$8)*10000)+Volatilities_Resets!$S13)),IF(BN24&gt;=BP$7,IF(BN24&lt;BQ$7,(((Volatilities_Resets!$S13-Volatilities_Resets!$Q13)/50)*((Calculator!BN24-Calculator!BP$7)*10000)+Volatilities_Resets!$Q13)),IF(BN24&gt;=BP$6,IF(BN24&lt;BQ$6,(((Volatilities_Resets!$Q13-Volatilities_Resets!$O13)/50)*((Calculator!BN24-Calculator!BP$6)*10000)+Volatilities_Resets!$O13)),IF(BN24&gt;=BP$5,IF(BN24&lt;BQ$5,(((Volatilities_Resets!$O13-Volatilities_Resets!$M13)/50)*((Calculator!BN24-Calculator!BP$5)*10000)+Volatilities_Resets!$M13)),IF(BN24&gt;=BP$4,IF(BN24&lt;BQ$4,(((Volatilities_Resets!$M13-Volatilities_Resets!$K13)/50)*((Calculator!BN24-Calculator!BP$4)*10000)+Volatilities_Resets!$K13)),IF(BN24&gt;=BP$3,IF(BN24&lt;BQ$3,(((Volatilities_Resets!$K13-Volatilities_Resets!$I13)/50)*((Calculator!BN24-Calculator!BP$3)*10000)+Volatilities_Resets!$I13)),IF(BN24&gt;=BP$2,IF(BN24&lt;BQ$2,(((Volatilities_Resets!$I13-Volatilities_Resets!$G13)/50)*((Calculator!BN24-Calculator!BP$2)*10000)+Volatilities_Resets!$G13)),"Well, something broke...")))))))))))/10000</f>
        <v>2.0235E-2</v>
      </c>
      <c r="BQ24" s="63">
        <f t="shared" ca="1" si="35"/>
        <v>8150.5111493934119</v>
      </c>
      <c r="BR24" s="63">
        <f t="shared" ca="1" si="36"/>
        <v>3.2876471113289524E-4</v>
      </c>
      <c r="BS24" s="63">
        <f t="shared" ca="1" si="47"/>
        <v>72343.980537758471</v>
      </c>
      <c r="BV24" s="63">
        <f t="shared" ca="1" si="37"/>
        <v>65.991916792224444</v>
      </c>
      <c r="BW24" s="63">
        <f ca="1">SUM($BV$15:BV24)</f>
        <v>498.75604287156096</v>
      </c>
      <c r="BY24" s="52">
        <f ca="1">EXP(-AVERAGE(BO$15:BO24)*BL24)</f>
        <v>0.96188834552049329</v>
      </c>
      <c r="CA24" s="52">
        <f t="shared" ca="1" si="38"/>
        <v>10</v>
      </c>
      <c r="CB24" s="71">
        <f t="shared" ca="1" si="39"/>
        <v>45283</v>
      </c>
      <c r="CC24" s="71">
        <f t="shared" ca="1" si="12"/>
        <v>45314</v>
      </c>
      <c r="CD24" s="72">
        <f t="shared" ca="1" si="13"/>
        <v>31</v>
      </c>
      <c r="CE24" s="73">
        <f ca="1">SUM(CD$15:CD24)/360</f>
        <v>0.85</v>
      </c>
      <c r="CF24" s="74">
        <f t="shared" si="14"/>
        <v>25000000</v>
      </c>
      <c r="CG24" s="59">
        <f t="shared" si="40"/>
        <v>0.06</v>
      </c>
      <c r="CH24" s="57">
        <f>Volatilities_Resets!$E13*0.01</f>
        <v>4.1450800000000003E-2</v>
      </c>
      <c r="CI24" s="61">
        <f>IF(CG24=CJ$11,Volatilities_Resets!$AA13,IF(CG24&gt;=CI$11,IF(CG24&lt;CJ$11,(((Volatilities_Resets!$AA13-Volatilities_Resets!$Y13)/50)*((Calculator!CG24-Calculator!CI$11)*10000)+Volatilities_Resets!$Y13)),IF(CG24&gt;=CI$10,IF(CG24&lt;CJ$10,(((Volatilities_Resets!$Y13-Volatilities_Resets!$W13)/50)*((Calculator!CG24-Calculator!CI$10)*10000)+Volatilities_Resets!$W13)),IF(CG24&gt;=CI$9,IF(CG24&lt;CJ$9,(((Volatilities_Resets!$W13-Volatilities_Resets!$U13)/50)*((Calculator!CG24-Calculator!CI$9)*10000)+Volatilities_Resets!$U13)),IF(CG24&gt;=CI$8,IF(CG24&lt;CJ$8,(((Volatilities_Resets!$U13-Volatilities_Resets!$S13)/50)*((Calculator!CG24-Calculator!CI$8)*10000)+Volatilities_Resets!$S13)),IF(CG24&gt;=CI$7,IF(CG24&lt;CJ$7,(((Volatilities_Resets!$S13-Volatilities_Resets!$Q13)/50)*((Calculator!CG24-Calculator!CI$7)*10000)+Volatilities_Resets!$Q13)),IF(CG24&gt;=CI$6,IF(CG24&lt;CJ$6,(((Volatilities_Resets!$Q13-Volatilities_Resets!$O13)/50)*((Calculator!CG24-Calculator!CI$6)*10000)+Volatilities_Resets!$O13)),IF(CG24&gt;=CI$5,IF(CG24&lt;CJ$5,(((Volatilities_Resets!$O13-Volatilities_Resets!$M13)/50)*((Calculator!CG24-Calculator!CI$5)*10000)+Volatilities_Resets!$M13)),IF(CG24&gt;=CI$4,IF(CG24&lt;CJ$4,(((Volatilities_Resets!$M13-Volatilities_Resets!$K13)/50)*((Calculator!CG24-Calculator!CI$4)*10000)+Volatilities_Resets!$K13)),IF(CG24&gt;=CI$3,IF(CG24&lt;CJ$3,(((Volatilities_Resets!$K13-Volatilities_Resets!$I13)/50)*((Calculator!CG24-Calculator!CI$3)*10000)+Volatilities_Resets!$I13)),IF(CG24&gt;=CI$2,IF(CG24&lt;CJ$2,(((Volatilities_Resets!$I13-Volatilities_Resets!$G13)/50)*((Calculator!CG24-Calculator!CI$2)*10000)+Volatilities_Resets!$G13)),"Well, something broke...")))))))))))/10000</f>
        <v>1.8256999999999999E-2</v>
      </c>
      <c r="CJ24" s="63">
        <f t="shared" ca="1" si="41"/>
        <v>2382.2217131166703</v>
      </c>
      <c r="CK24" s="63">
        <f t="shared" ca="1" si="42"/>
        <v>9.6954314456052255E-5</v>
      </c>
      <c r="CL24" s="63">
        <f t="shared" ca="1" si="48"/>
        <v>15459.370350299323</v>
      </c>
      <c r="CO24" s="63">
        <f t="shared" ca="1" si="43"/>
        <v>40.049325787354377</v>
      </c>
      <c r="CP24" s="63">
        <f ca="1">SUM($CO$15:CO24)</f>
        <v>267.60982012591455</v>
      </c>
      <c r="CR24" s="52">
        <f ca="1">EXP(-AVERAGE(CH$15:CH24)*CE24)</f>
        <v>0.96188834552049329</v>
      </c>
      <c r="CT24"/>
      <c r="CU24"/>
      <c r="CV24"/>
      <c r="CW24"/>
      <c r="CX24"/>
      <c r="CY24"/>
      <c r="CZ24"/>
      <c r="DA24"/>
      <c r="DB24"/>
      <c r="DC24"/>
      <c r="DD24"/>
      <c r="DE24"/>
      <c r="DF24"/>
      <c r="DG24"/>
      <c r="DH24"/>
      <c r="DI24"/>
      <c r="DJ24"/>
      <c r="DK24"/>
      <c r="DL24"/>
    </row>
    <row r="25" spans="2:116" ht="15.75" customHeight="1">
      <c r="B25" s="52">
        <v>1</v>
      </c>
      <c r="C25" s="52">
        <f t="shared" ca="1" si="15"/>
        <v>11</v>
      </c>
      <c r="D25" s="71">
        <f t="shared" ca="1" si="16"/>
        <v>45314</v>
      </c>
      <c r="E25" s="71">
        <f t="shared" ca="1" si="0"/>
        <v>45345</v>
      </c>
      <c r="F25" s="72">
        <f t="shared" ca="1" si="1"/>
        <v>31</v>
      </c>
      <c r="G25" s="73">
        <f ca="1">SUM($F$15:F25)/360</f>
        <v>0.93611111111111112</v>
      </c>
      <c r="H25" s="74">
        <f t="shared" si="2"/>
        <v>25000000</v>
      </c>
      <c r="I25" s="59">
        <f>IF('Cap Pricer'!$E$22=DataValidation!$C$2,'Cap Pricer'!$E$23,IF('Cap Pricer'!$E$22=DataValidation!$C$3,VLOOKUP($B25,'Cap Pricer'!$C$25:$E$31,3),""))</f>
        <v>0.02</v>
      </c>
      <c r="J25" s="57">
        <f>Volatilities_Resets!$E14*0.01</f>
        <v>3.9833300000000002E-2</v>
      </c>
      <c r="K25" s="61">
        <f>IF(I25=L$11,Volatilities_Resets!$AA14,IF(I25&gt;=K$11,IF(I25&lt;L$11,(((Volatilities_Resets!$AA14-Volatilities_Resets!$Y14)/50)*((Calculator!I25-Calculator!K$11)*10000)+Volatilities_Resets!$Y14)),IF(I25&gt;=K$10,IF(I25&lt;L$10,(((Volatilities_Resets!$Y14-Volatilities_Resets!$W14)/50)*((Calculator!I25-Calculator!K$10)*10000)+Volatilities_Resets!$W14)),IF(I25&gt;=K$9,IF(I25&lt;L$9,(((Volatilities_Resets!$W14-Volatilities_Resets!$U14)/50)*((Calculator!I25-Calculator!K$9)*10000)+Volatilities_Resets!$U14)),IF(I25&gt;=K$8,IF(I25&lt;L$8,(((Volatilities_Resets!$U14-Volatilities_Resets!$S14)/50)*((Calculator!I25-Calculator!K$8)*10000)+Volatilities_Resets!$S14)),IF(I25&gt;=K$7,IF(I25&lt;L$7,(((Volatilities_Resets!$S14-Volatilities_Resets!$Q14)/50)*((Calculator!I25-Calculator!K$7)*10000)+Volatilities_Resets!$Q14)),IF(I25&gt;=K$6,IF(I25&lt;L$6,(((Volatilities_Resets!$Q14-Volatilities_Resets!$O14)/50)*((Calculator!I25-Calculator!K$6)*10000)+Volatilities_Resets!$O14)),IF(I25&gt;=K$5,IF(I25&lt;L$5,(((Volatilities_Resets!$O14-Volatilities_Resets!$M14)/50)*((Calculator!I25-Calculator!K$5)*10000)+Volatilities_Resets!$M14)),IF(I25&gt;=K$4,IF(I25&lt;L$4,(((Volatilities_Resets!$M14-Volatilities_Resets!$K14)/50)*((Calculator!I25-Calculator!K$4)*10000)+Volatilities_Resets!$K14)),IF(I25&gt;=K$3,IF(I25&lt;L$3,(((Volatilities_Resets!$K14-Volatilities_Resets!$I14)/50)*((Calculator!I25-Calculator!K$3)*10000)+Volatilities_Resets!$I14)),IF(I25&gt;=K$2,IF(I25&lt;L$2,(((Volatilities_Resets!$I14-Volatilities_Resets!$G14)/50)*((Calculator!I25-Calculator!K$2)*10000)+Volatilities_Resets!$G14)),"Well, something broke...")))))))))))/10000</f>
        <v>2.6501999999999998E-2</v>
      </c>
      <c r="L25" s="47">
        <f t="shared" ca="1" si="17"/>
        <v>47591.917135270269</v>
      </c>
      <c r="M25" s="63">
        <f t="shared" ca="1" si="18"/>
        <v>1.9060417268025173E-3</v>
      </c>
      <c r="N25" s="63">
        <f t="shared" ca="1" si="44"/>
        <v>606709.53887140832</v>
      </c>
      <c r="Q25" s="63">
        <f t="shared" ca="1" si="19"/>
        <v>56.677563027314719</v>
      </c>
      <c r="R25" s="63">
        <f ca="1">SUM($Q$15:Q25)</f>
        <v>298.20933149479259</v>
      </c>
      <c r="T25" s="52">
        <f ca="1">EXP(-AVERAGE(J$15:J25)*G25)</f>
        <v>0.95858894015243412</v>
      </c>
      <c r="U25" s="57"/>
      <c r="V25" s="52">
        <f t="shared" ca="1" si="20"/>
        <v>11</v>
      </c>
      <c r="W25" s="71">
        <f t="shared" ca="1" si="21"/>
        <v>45314</v>
      </c>
      <c r="X25" s="71">
        <f t="shared" ca="1" si="3"/>
        <v>45345</v>
      </c>
      <c r="Y25" s="72">
        <f t="shared" ca="1" si="4"/>
        <v>31</v>
      </c>
      <c r="Z25" s="73">
        <f ca="1">SUM(Y$15:Y25)/360</f>
        <v>0.93611111111111112</v>
      </c>
      <c r="AA25" s="74">
        <f t="shared" si="22"/>
        <v>25000000</v>
      </c>
      <c r="AB25" s="59">
        <f t="shared" si="23"/>
        <v>0.03</v>
      </c>
      <c r="AC25" s="57">
        <f>Volatilities_Resets!$E14*0.01</f>
        <v>3.9833300000000002E-2</v>
      </c>
      <c r="AD25" s="61">
        <f>IF(AB25=AE$11,Volatilities_Resets!$AA14,IF(AB25&gt;=AD$11,IF(AB25&lt;AE$11,(((Volatilities_Resets!$AA14-Volatilities_Resets!$Y14)/50)*((Calculator!AB25-Calculator!AD$11)*10000)+Volatilities_Resets!$Y14)),IF(AB25&gt;=AD$10,IF(AB25&lt;AE$10,(((Volatilities_Resets!$Y14-Volatilities_Resets!$W14)/50)*((Calculator!AB25-Calculator!AD$10)*10000)+Volatilities_Resets!$W14)),IF(AB25&gt;=AD$9,IF(AB25&lt;AE$9,(((Volatilities_Resets!$W14-Volatilities_Resets!$U14)/50)*((Calculator!AB25-Calculator!AD$9)*10000)+Volatilities_Resets!$U14)),IF(AB25&gt;=AD$8,IF(AB25&lt;AE$8,(((Volatilities_Resets!$U14-Volatilities_Resets!$S14)/50)*((Calculator!AB25-Calculator!AD$8)*10000)+Volatilities_Resets!$S14)),IF(AB25&gt;=AD$7,IF(AB25&lt;AE$7,(((Volatilities_Resets!$S14-Volatilities_Resets!$Q14)/50)*((Calculator!AB25-Calculator!AD$7)*10000)+Volatilities_Resets!$Q14)),IF(AB25&gt;=AD$6,IF(AB25&lt;AE$6,(((Volatilities_Resets!$Q14-Volatilities_Resets!$O14)/50)*((Calculator!AB25-Calculator!AD$6)*10000)+Volatilities_Resets!$O14)),IF(AB25&gt;=AD$5,IF(AB25&lt;AE$5,(((Volatilities_Resets!$O14-Volatilities_Resets!$M14)/50)*((Calculator!AB25-Calculator!AD$5)*10000)+Volatilities_Resets!$M14)),IF(AB25&gt;=AD$4,IF(AB25&lt;AE$4,(((Volatilities_Resets!$M14-Volatilities_Resets!$K14)/50)*((Calculator!AB25-Calculator!AD$4)*10000)+Volatilities_Resets!$K14)),IF(AB25&gt;=AD$3,IF(AB25&lt;AE$3,(((Volatilities_Resets!$K14-Volatilities_Resets!$I14)/50)*((Calculator!AB25-Calculator!AD$3)*10000)+Volatilities_Resets!$I14)),IF(AB25&gt;=AD$2,IF(AB25&lt;AE$2,(((Volatilities_Resets!$I14-Volatilities_Resets!$G14)/50)*((Calculator!AB25-Calculator!AD$2)*10000)+Volatilities_Resets!$G14)),"Well, something broke...")))))))))))/10000</f>
        <v>2.5027999999999998E-2</v>
      </c>
      <c r="AE25" s="63">
        <f t="shared" ca="1" si="24"/>
        <v>31703.315103478937</v>
      </c>
      <c r="AF25" s="63">
        <f t="shared" ca="1" si="25"/>
        <v>1.2710675523802967E-3</v>
      </c>
      <c r="AG25" s="63">
        <f t="shared" ca="1" si="45"/>
        <v>403860.63831656688</v>
      </c>
      <c r="AJ25" s="63">
        <f t="shared" ca="1" si="26"/>
        <v>70.335223096898446</v>
      </c>
      <c r="AK25" s="63">
        <f ca="1">SUM($AJ$15:AJ25)</f>
        <v>425.66316753977725</v>
      </c>
      <c r="AM25" s="52">
        <f ca="1">EXP(-AVERAGE(AC$15:AC25)*Z25)</f>
        <v>0.95858894015243412</v>
      </c>
      <c r="AO25" s="52">
        <f t="shared" ca="1" si="27"/>
        <v>11</v>
      </c>
      <c r="AP25" s="71">
        <f t="shared" ca="1" si="28"/>
        <v>45314</v>
      </c>
      <c r="AQ25" s="71">
        <f t="shared" ca="1" si="5"/>
        <v>45345</v>
      </c>
      <c r="AR25" s="72">
        <f t="shared" ca="1" si="6"/>
        <v>31</v>
      </c>
      <c r="AS25" s="73">
        <f ca="1">SUM(AR$15:AR25)/360</f>
        <v>0.93611111111111112</v>
      </c>
      <c r="AT25" s="74">
        <f t="shared" si="7"/>
        <v>25000000</v>
      </c>
      <c r="AU25" s="59">
        <f t="shared" si="29"/>
        <v>0.04</v>
      </c>
      <c r="AV25" s="57">
        <f>Volatilities_Resets!$E14*0.01</f>
        <v>3.9833300000000002E-2</v>
      </c>
      <c r="AW25" s="61">
        <f>IF(AU25=AX$11,Volatilities_Resets!$AA14,IF(AU25&gt;=AW$11,IF(AU25&lt;AX$11,(((Volatilities_Resets!$AA14-Volatilities_Resets!$Y14)/50)*((Calculator!AU25-Calculator!AW$11)*10000)+Volatilities_Resets!$Y14)),IF(AU25&gt;=AW$10,IF(AU25&lt;AX$10,(((Volatilities_Resets!$Y14-Volatilities_Resets!$W14)/50)*((Calculator!AU25-Calculator!AW$10)*10000)+Volatilities_Resets!$W14)),IF(AU25&gt;=AW$9,IF(AU25&lt;AX$9,(((Volatilities_Resets!$W14-Volatilities_Resets!$U14)/50)*((Calculator!AU25-Calculator!AW$9)*10000)+Volatilities_Resets!$U14)),IF(AU25&gt;=AW$8,IF(AU25&lt;AX$8,(((Volatilities_Resets!$U14-Volatilities_Resets!$S14)/50)*((Calculator!AU25-Calculator!AW$8)*10000)+Volatilities_Resets!$S14)),IF(AU25&gt;=AW$7,IF(AU25&lt;AX$7,(((Volatilities_Resets!$S14-Volatilities_Resets!$Q14)/50)*((Calculator!AU25-Calculator!AW$7)*10000)+Volatilities_Resets!$Q14)),IF(AU25&gt;=AW$6,IF(AU25&lt;AX$6,(((Volatilities_Resets!$Q14-Volatilities_Resets!$O14)/50)*((Calculator!AU25-Calculator!AW$6)*10000)+Volatilities_Resets!$O14)),IF(AU25&gt;=AW$5,IF(AU25&lt;AX$5,(((Volatilities_Resets!$O14-Volatilities_Resets!$M14)/50)*((Calculator!AU25-Calculator!AW$5)*10000)+Volatilities_Resets!$M14)),IF(AU25&gt;=AW$4,IF(AU25&lt;AX$4,(((Volatilities_Resets!$M14-Volatilities_Resets!$K14)/50)*((Calculator!AU25-Calculator!AW$4)*10000)+Volatilities_Resets!$K14)),IF(AU25&gt;=AW$3,IF(AU25&lt;AX$3,(((Volatilities_Resets!$K14-Volatilities_Resets!$I14)/50)*((Calculator!AU25-Calculator!AW$3)*10000)+Volatilities_Resets!$I14)),IF(AU25&gt;=AW$2,IF(AU25&lt;AX$2,(((Volatilities_Resets!$I14-Volatilities_Resets!$G14)/50)*((Calculator!AU25-Calculator!AW$2)*10000)+Volatilities_Resets!$G14)),"Well, something broke...")))))))))))/10000</f>
        <v>2.2703000000000001E-2</v>
      </c>
      <c r="AX25" s="63">
        <f t="shared" ca="1" si="30"/>
        <v>17912.272954026943</v>
      </c>
      <c r="AY25" s="63">
        <f t="shared" ca="1" si="31"/>
        <v>7.1967697061339373E-4</v>
      </c>
      <c r="AZ25" s="63">
        <f t="shared" ca="1" si="46"/>
        <v>219309.17571680067</v>
      </c>
      <c r="BC25" s="63">
        <f t="shared" ca="1" si="8"/>
        <v>76.352866088391508</v>
      </c>
      <c r="BD25" s="63">
        <f ca="1">SUM($BC$15:BC25)</f>
        <v>553.75504427176998</v>
      </c>
      <c r="BF25" s="52">
        <f ca="1">EXP(-AVERAGE(AV$15:AV25)*AS25)</f>
        <v>0.95858894015243412</v>
      </c>
      <c r="BH25" s="52">
        <f t="shared" ca="1" si="32"/>
        <v>11</v>
      </c>
      <c r="BI25" s="71">
        <f t="shared" ca="1" si="33"/>
        <v>45314</v>
      </c>
      <c r="BJ25" s="71">
        <f t="shared" ca="1" si="9"/>
        <v>45345</v>
      </c>
      <c r="BK25" s="72">
        <f t="shared" ca="1" si="10"/>
        <v>31</v>
      </c>
      <c r="BL25" s="73">
        <f ca="1">SUM(BK$15:BK25)/360</f>
        <v>0.93611111111111112</v>
      </c>
      <c r="BM25" s="74">
        <f t="shared" si="11"/>
        <v>25000000</v>
      </c>
      <c r="BN25" s="59">
        <f t="shared" si="34"/>
        <v>0.05</v>
      </c>
      <c r="BO25" s="57">
        <f>Volatilities_Resets!$E14*0.01</f>
        <v>3.9833300000000002E-2</v>
      </c>
      <c r="BP25" s="61">
        <f>IF(BN25=BQ$11,Volatilities_Resets!$AA14,IF(BN25&gt;=BP$11,IF(BN25&lt;BQ$11,(((Volatilities_Resets!$AA14-Volatilities_Resets!$Y14)/50)*((Calculator!BN25-Calculator!BP$11)*10000)+Volatilities_Resets!$Y14)),IF(BN25&gt;=BP$10,IF(BN25&lt;BQ$10,(((Volatilities_Resets!$Y14-Volatilities_Resets!$W14)/50)*((Calculator!BN25-Calculator!BP$10)*10000)+Volatilities_Resets!$W14)),IF(BN25&gt;=BP$9,IF(BN25&lt;BQ$9,(((Volatilities_Resets!$W14-Volatilities_Resets!$U14)/50)*((Calculator!BN25-Calculator!BP$9)*10000)+Volatilities_Resets!$U14)),IF(BN25&gt;=BP$8,IF(BN25&lt;BQ$8,(((Volatilities_Resets!$U14-Volatilities_Resets!$S14)/50)*((Calculator!BN25-Calculator!BP$8)*10000)+Volatilities_Resets!$S14)),IF(BN25&gt;=BP$7,IF(BN25&lt;BQ$7,(((Volatilities_Resets!$S14-Volatilities_Resets!$Q14)/50)*((Calculator!BN25-Calculator!BP$7)*10000)+Volatilities_Resets!$Q14)),IF(BN25&gt;=BP$6,IF(BN25&lt;BQ$6,(((Volatilities_Resets!$Q14-Volatilities_Resets!$O14)/50)*((Calculator!BN25-Calculator!BP$6)*10000)+Volatilities_Resets!$O14)),IF(BN25&gt;=BP$5,IF(BN25&lt;BQ$5,(((Volatilities_Resets!$O14-Volatilities_Resets!$M14)/50)*((Calculator!BN25-Calculator!BP$5)*10000)+Volatilities_Resets!$M14)),IF(BN25&gt;=BP$4,IF(BN25&lt;BQ$4,(((Volatilities_Resets!$M14-Volatilities_Resets!$K14)/50)*((Calculator!BN25-Calculator!BP$4)*10000)+Volatilities_Resets!$K14)),IF(BN25&gt;=BP$3,IF(BN25&lt;BQ$3,(((Volatilities_Resets!$K14-Volatilities_Resets!$I14)/50)*((Calculator!BN25-Calculator!BP$3)*10000)+Volatilities_Resets!$I14)),IF(BN25&gt;=BP$2,IF(BN25&lt;BQ$2,(((Volatilities_Resets!$I14-Volatilities_Resets!$G14)/50)*((Calculator!BN25-Calculator!BP$2)*10000)+Volatilities_Resets!$G14)),"Well, something broke...")))))))))))/10000</f>
        <v>2.0324000000000002E-2</v>
      </c>
      <c r="BQ25" s="63">
        <f t="shared" ca="1" si="35"/>
        <v>7815.4171114250166</v>
      </c>
      <c r="BR25" s="63">
        <f t="shared" ca="1" si="36"/>
        <v>3.1540604148282456E-4</v>
      </c>
      <c r="BS25" s="63">
        <f t="shared" ca="1" si="47"/>
        <v>80159.397649183491</v>
      </c>
      <c r="BV25" s="63">
        <f t="shared" ca="1" si="37"/>
        <v>66.846169877281781</v>
      </c>
      <c r="BW25" s="63">
        <f ca="1">SUM($BV$15:BV25)</f>
        <v>565.6022127488427</v>
      </c>
      <c r="BY25" s="52">
        <f ca="1">EXP(-AVERAGE(BO$15:BO25)*BL25)</f>
        <v>0.95858894015243412</v>
      </c>
      <c r="CA25" s="52">
        <f t="shared" ca="1" si="38"/>
        <v>11</v>
      </c>
      <c r="CB25" s="71">
        <f t="shared" ca="1" si="39"/>
        <v>45314</v>
      </c>
      <c r="CC25" s="71">
        <f t="shared" ca="1" si="12"/>
        <v>45345</v>
      </c>
      <c r="CD25" s="72">
        <f t="shared" ca="1" si="13"/>
        <v>31</v>
      </c>
      <c r="CE25" s="73">
        <f ca="1">SUM(CD$15:CD25)/360</f>
        <v>0.93611111111111112</v>
      </c>
      <c r="CF25" s="74">
        <f t="shared" si="14"/>
        <v>25000000</v>
      </c>
      <c r="CG25" s="59">
        <f t="shared" si="40"/>
        <v>0.06</v>
      </c>
      <c r="CH25" s="57">
        <f>Volatilities_Resets!$E14*0.01</f>
        <v>3.9833300000000002E-2</v>
      </c>
      <c r="CI25" s="61">
        <f>IF(CG25=CJ$11,Volatilities_Resets!$AA14,IF(CG25&gt;=CI$11,IF(CG25&lt;CJ$11,(((Volatilities_Resets!$AA14-Volatilities_Resets!$Y14)/50)*((Calculator!CG25-Calculator!CI$11)*10000)+Volatilities_Resets!$Y14)),IF(CG25&gt;=CI$10,IF(CG25&lt;CJ$10,(((Volatilities_Resets!$Y14-Volatilities_Resets!$W14)/50)*((Calculator!CG25-Calculator!CI$10)*10000)+Volatilities_Resets!$W14)),IF(CG25&gt;=CI$9,IF(CG25&lt;CJ$9,(((Volatilities_Resets!$W14-Volatilities_Resets!$U14)/50)*((Calculator!CG25-Calculator!CI$9)*10000)+Volatilities_Resets!$U14)),IF(CG25&gt;=CI$8,IF(CG25&lt;CJ$8,(((Volatilities_Resets!$U14-Volatilities_Resets!$S14)/50)*((Calculator!CG25-Calculator!CI$8)*10000)+Volatilities_Resets!$S14)),IF(CG25&gt;=CI$7,IF(CG25&lt;CJ$7,(((Volatilities_Resets!$S14-Volatilities_Resets!$Q14)/50)*((Calculator!CG25-Calculator!CI$7)*10000)+Volatilities_Resets!$Q14)),IF(CG25&gt;=CI$6,IF(CG25&lt;CJ$6,(((Volatilities_Resets!$Q14-Volatilities_Resets!$O14)/50)*((Calculator!CG25-Calculator!CI$6)*10000)+Volatilities_Resets!$O14)),IF(CG25&gt;=CI$5,IF(CG25&lt;CJ$5,(((Volatilities_Resets!$O14-Volatilities_Resets!$M14)/50)*((Calculator!CG25-Calculator!CI$5)*10000)+Volatilities_Resets!$M14)),IF(CG25&gt;=CI$4,IF(CG25&lt;CJ$4,(((Volatilities_Resets!$M14-Volatilities_Resets!$K14)/50)*((Calculator!CG25-Calculator!CI$4)*10000)+Volatilities_Resets!$K14)),IF(CG25&gt;=CI$3,IF(CG25&lt;CJ$3,(((Volatilities_Resets!$K14-Volatilities_Resets!$I14)/50)*((Calculator!CG25-Calculator!CI$3)*10000)+Volatilities_Resets!$I14)),IF(CG25&gt;=CI$2,IF(CG25&lt;CJ$2,(((Volatilities_Resets!$I14-Volatilities_Resets!$G14)/50)*((Calculator!CG25-Calculator!CI$2)*10000)+Volatilities_Resets!$G14)),"Well, something broke...")))))))))))/10000</f>
        <v>1.9243E-2</v>
      </c>
      <c r="CJ25" s="63">
        <f t="shared" ca="1" si="41"/>
        <v>2725.3213136512827</v>
      </c>
      <c r="CK25" s="63">
        <f t="shared" ca="1" si="42"/>
        <v>1.1079036049253928E-4</v>
      </c>
      <c r="CL25" s="63">
        <f t="shared" ca="1" si="48"/>
        <v>18184.691663950605</v>
      </c>
      <c r="CO25" s="63">
        <f t="shared" ca="1" si="43"/>
        <v>42.597486463410689</v>
      </c>
      <c r="CP25" s="63">
        <f ca="1">SUM($CO$15:CO25)</f>
        <v>310.20730658932524</v>
      </c>
      <c r="CR25" s="52">
        <f ca="1">EXP(-AVERAGE(CH$15:CH25)*CE25)</f>
        <v>0.95858894015243412</v>
      </c>
      <c r="CT25"/>
      <c r="CU25"/>
      <c r="CV25"/>
      <c r="CW25"/>
      <c r="CX25"/>
      <c r="CY25"/>
      <c r="CZ25"/>
      <c r="DA25"/>
      <c r="DB25"/>
      <c r="DC25"/>
      <c r="DD25"/>
      <c r="DE25"/>
      <c r="DF25"/>
      <c r="DG25"/>
      <c r="DH25"/>
      <c r="DI25"/>
      <c r="DJ25"/>
      <c r="DK25"/>
      <c r="DL25"/>
    </row>
    <row r="26" spans="2:116" ht="15.75" customHeight="1">
      <c r="B26" s="52">
        <v>1</v>
      </c>
      <c r="C26" s="75">
        <f t="shared" ca="1" si="15"/>
        <v>12</v>
      </c>
      <c r="D26" s="76">
        <f t="shared" ca="1" si="16"/>
        <v>45345</v>
      </c>
      <c r="E26" s="76">
        <f t="shared" ca="1" si="0"/>
        <v>45374</v>
      </c>
      <c r="F26" s="77">
        <f t="shared" ca="1" si="1"/>
        <v>29</v>
      </c>
      <c r="G26" s="78">
        <f ca="1">SUM($F$15:F26)/360</f>
        <v>1.0166666666666666</v>
      </c>
      <c r="H26" s="79">
        <f t="shared" si="2"/>
        <v>25000000</v>
      </c>
      <c r="I26" s="80">
        <f>IF('Cap Pricer'!$E$22=DataValidation!$C$2,'Cap Pricer'!$E$23,IF('Cap Pricer'!$E$22=DataValidation!$C$3,VLOOKUP($B26,'Cap Pricer'!$C$25:$E$31,3),""))</f>
        <v>0.02</v>
      </c>
      <c r="J26" s="81">
        <f>Volatilities_Resets!$E15*0.01</f>
        <v>3.9172400000000003E-2</v>
      </c>
      <c r="K26" s="82">
        <f>IF(I26=L$11,Volatilities_Resets!$AA15,IF(I26&gt;=K$11,IF(I26&lt;L$11,(((Volatilities_Resets!$AA15-Volatilities_Resets!$Y15)/50)*((Calculator!I26-Calculator!K$11)*10000)+Volatilities_Resets!$Y15)),IF(I26&gt;=K$10,IF(I26&lt;L$10,(((Volatilities_Resets!$Y15-Volatilities_Resets!$W15)/50)*((Calculator!I26-Calculator!K$10)*10000)+Volatilities_Resets!$W15)),IF(I26&gt;=K$9,IF(I26&lt;L$9,(((Volatilities_Resets!$W15-Volatilities_Resets!$U15)/50)*((Calculator!I26-Calculator!K$9)*10000)+Volatilities_Resets!$U15)),IF(I26&gt;=K$8,IF(I26&lt;L$8,(((Volatilities_Resets!$U15-Volatilities_Resets!$S15)/50)*((Calculator!I26-Calculator!K$8)*10000)+Volatilities_Resets!$S15)),IF(I26&gt;=K$7,IF(I26&lt;L$7,(((Volatilities_Resets!$S15-Volatilities_Resets!$Q15)/50)*((Calculator!I26-Calculator!K$7)*10000)+Volatilities_Resets!$Q15)),IF(I26&gt;=K$6,IF(I26&lt;L$6,(((Volatilities_Resets!$Q15-Volatilities_Resets!$O15)/50)*((Calculator!I26-Calculator!K$6)*10000)+Volatilities_Resets!$O15)),IF(I26&gt;=K$5,IF(I26&lt;L$5,(((Volatilities_Resets!$O15-Volatilities_Resets!$M15)/50)*((Calculator!I26-Calculator!K$5)*10000)+Volatilities_Resets!$M15)),IF(I26&gt;=K$4,IF(I26&lt;L$4,(((Volatilities_Resets!$M15-Volatilities_Resets!$K15)/50)*((Calculator!I26-Calculator!K$4)*10000)+Volatilities_Resets!$K15)),IF(I26&gt;=K$3,IF(I26&lt;L$3,(((Volatilities_Resets!$K15-Volatilities_Resets!$I15)/50)*((Calculator!I26-Calculator!K$3)*10000)+Volatilities_Resets!$I15)),IF(I26&gt;=K$2,IF(I26&lt;L$2,(((Volatilities_Resets!$I15-Volatilities_Resets!$G15)/50)*((Calculator!I26-Calculator!K$2)*10000)+Volatilities_Resets!$G15)),"Well, something broke...")))))))))))/10000</f>
        <v>2.3675000000000002E-2</v>
      </c>
      <c r="L26" s="83">
        <f t="shared" ca="1" si="17"/>
        <v>42388.147484519868</v>
      </c>
      <c r="M26" s="84">
        <f t="shared" ca="1" si="18"/>
        <v>1.6977717756561418E-3</v>
      </c>
      <c r="N26" s="84">
        <f t="shared" ca="1" si="44"/>
        <v>649097.68635592819</v>
      </c>
      <c r="O26" s="84">
        <f ca="1">SUM(L15:L26)</f>
        <v>649097.68635592819</v>
      </c>
      <c r="P26" s="49"/>
      <c r="Q26" s="84">
        <f t="shared" ca="1" si="19"/>
        <v>53.653576899550707</v>
      </c>
      <c r="R26" s="84">
        <f ca="1">SUM($Q$15:Q26)</f>
        <v>351.86290839434332</v>
      </c>
      <c r="T26" s="52">
        <f ca="1">EXP(-AVERAGE(J$15:J26)*G26)</f>
        <v>0.95559274548654372</v>
      </c>
      <c r="U26" s="57"/>
      <c r="V26" s="75">
        <f t="shared" ca="1" si="20"/>
        <v>12</v>
      </c>
      <c r="W26" s="76">
        <f t="shared" ca="1" si="21"/>
        <v>45345</v>
      </c>
      <c r="X26" s="76">
        <f t="shared" ca="1" si="3"/>
        <v>45374</v>
      </c>
      <c r="Y26" s="77">
        <f t="shared" ca="1" si="4"/>
        <v>29</v>
      </c>
      <c r="Z26" s="78">
        <f ca="1">SUM(Y$15:Y26)/360</f>
        <v>1.0166666666666666</v>
      </c>
      <c r="AA26" s="79">
        <f t="shared" si="22"/>
        <v>25000000</v>
      </c>
      <c r="AB26" s="80">
        <f t="shared" si="23"/>
        <v>0.03</v>
      </c>
      <c r="AC26" s="81">
        <f>Volatilities_Resets!$E15*0.01</f>
        <v>3.9172400000000003E-2</v>
      </c>
      <c r="AD26" s="82">
        <f>IF(AB26=AE$11,Volatilities_Resets!$AA15,IF(AB26&gt;=AD$11,IF(AB26&lt;AE$11,(((Volatilities_Resets!$AA15-Volatilities_Resets!$Y15)/50)*((Calculator!AB26-Calculator!AD$11)*10000)+Volatilities_Resets!$Y15)),IF(AB26&gt;=AD$10,IF(AB26&lt;AE$10,(((Volatilities_Resets!$Y15-Volatilities_Resets!$W15)/50)*((Calculator!AB26-Calculator!AD$10)*10000)+Volatilities_Resets!$W15)),IF(AB26&gt;=AD$9,IF(AB26&lt;AE$9,(((Volatilities_Resets!$W15-Volatilities_Resets!$U15)/50)*((Calculator!AB26-Calculator!AD$9)*10000)+Volatilities_Resets!$U15)),IF(AB26&gt;=AD$8,IF(AB26&lt;AE$8,(((Volatilities_Resets!$U15-Volatilities_Resets!$S15)/50)*((Calculator!AB26-Calculator!AD$8)*10000)+Volatilities_Resets!$S15)),IF(AB26&gt;=AD$7,IF(AB26&lt;AE$7,(((Volatilities_Resets!$S15-Volatilities_Resets!$Q15)/50)*((Calculator!AB26-Calculator!AD$7)*10000)+Volatilities_Resets!$Q15)),IF(AB26&gt;=AD$6,IF(AB26&lt;AE$6,(((Volatilities_Resets!$Q15-Volatilities_Resets!$O15)/50)*((Calculator!AB26-Calculator!AD$6)*10000)+Volatilities_Resets!$O15)),IF(AB26&gt;=AD$5,IF(AB26&lt;AE$5,(((Volatilities_Resets!$O15-Volatilities_Resets!$M15)/50)*((Calculator!AB26-Calculator!AD$5)*10000)+Volatilities_Resets!$M15)),IF(AB26&gt;=AD$4,IF(AB26&lt;AE$4,(((Volatilities_Resets!$M15-Volatilities_Resets!$K15)/50)*((Calculator!AB26-Calculator!AD$4)*10000)+Volatilities_Resets!$K15)),IF(AB26&gt;=AD$3,IF(AB26&lt;AE$3,(((Volatilities_Resets!$K15-Volatilities_Resets!$I15)/50)*((Calculator!AB26-Calculator!AD$3)*10000)+Volatilities_Resets!$I15)),IF(AB26&gt;=AD$2,IF(AB26&lt;AE$2,(((Volatilities_Resets!$I15-Volatilities_Resets!$G15)/50)*((Calculator!AB26-Calculator!AD$2)*10000)+Volatilities_Resets!$G15)),"Well, something broke...")))))))))))/10000</f>
        <v>2.2956000000000001E-2</v>
      </c>
      <c r="AE26" s="84">
        <f t="shared" ca="1" si="24"/>
        <v>27973.950158861768</v>
      </c>
      <c r="AF26" s="84">
        <f t="shared" ca="1" si="25"/>
        <v>1.1218216304486723E-3</v>
      </c>
      <c r="AG26" s="84">
        <f t="shared" ca="1" si="45"/>
        <v>431834.58847542864</v>
      </c>
      <c r="AH26" s="84">
        <f ca="1">SUM(AE15:AE26)</f>
        <v>431834.58847542864</v>
      </c>
      <c r="AI26" s="49"/>
      <c r="AJ26" s="84">
        <f t="shared" ca="1" si="26"/>
        <v>68.411460255486489</v>
      </c>
      <c r="AK26" s="84">
        <f ca="1">SUM($AJ$15:AJ26)</f>
        <v>494.07462779526372</v>
      </c>
      <c r="AM26" s="52">
        <f ca="1">EXP(-AVERAGE(AC$15:AC26)*Z26)</f>
        <v>0.95559274548654372</v>
      </c>
      <c r="AO26" s="75">
        <f t="shared" ca="1" si="27"/>
        <v>12</v>
      </c>
      <c r="AP26" s="76">
        <f t="shared" ca="1" si="28"/>
        <v>45345</v>
      </c>
      <c r="AQ26" s="76">
        <f t="shared" ca="1" si="5"/>
        <v>45374</v>
      </c>
      <c r="AR26" s="77">
        <f t="shared" ca="1" si="6"/>
        <v>29</v>
      </c>
      <c r="AS26" s="78">
        <f ca="1">SUM(AR$15:AR26)/360</f>
        <v>1.0166666666666666</v>
      </c>
      <c r="AT26" s="79">
        <f t="shared" si="7"/>
        <v>25000000</v>
      </c>
      <c r="AU26" s="80">
        <f t="shared" si="29"/>
        <v>0.04</v>
      </c>
      <c r="AV26" s="81">
        <f>Volatilities_Resets!$E15*0.01</f>
        <v>3.9172400000000003E-2</v>
      </c>
      <c r="AW26" s="82">
        <f>IF(AU26=AX$11,Volatilities_Resets!$AA15,IF(AU26&gt;=AW$11,IF(AU26&lt;AX$11,(((Volatilities_Resets!$AA15-Volatilities_Resets!$Y15)/50)*((Calculator!AU26-Calculator!AW$11)*10000)+Volatilities_Resets!$Y15)),IF(AU26&gt;=AW$10,IF(AU26&lt;AX$10,(((Volatilities_Resets!$Y15-Volatilities_Resets!$W15)/50)*((Calculator!AU26-Calculator!AW$10)*10000)+Volatilities_Resets!$W15)),IF(AU26&gt;=AW$9,IF(AU26&lt;AX$9,(((Volatilities_Resets!$W15-Volatilities_Resets!$U15)/50)*((Calculator!AU26-Calculator!AW$9)*10000)+Volatilities_Resets!$U15)),IF(AU26&gt;=AW$8,IF(AU26&lt;AX$8,(((Volatilities_Resets!$U15-Volatilities_Resets!$S15)/50)*((Calculator!AU26-Calculator!AW$8)*10000)+Volatilities_Resets!$S15)),IF(AU26&gt;=AW$7,IF(AU26&lt;AX$7,(((Volatilities_Resets!$S15-Volatilities_Resets!$Q15)/50)*((Calculator!AU26-Calculator!AW$7)*10000)+Volatilities_Resets!$Q15)),IF(AU26&gt;=AW$6,IF(AU26&lt;AX$6,(((Volatilities_Resets!$Q15-Volatilities_Resets!$O15)/50)*((Calculator!AU26-Calculator!AW$6)*10000)+Volatilities_Resets!$O15)),IF(AU26&gt;=AW$5,IF(AU26&lt;AX$5,(((Volatilities_Resets!$O15-Volatilities_Resets!$M15)/50)*((Calculator!AU26-Calculator!AW$5)*10000)+Volatilities_Resets!$M15)),IF(AU26&gt;=AW$4,IF(AU26&lt;AX$4,(((Volatilities_Resets!$M15-Volatilities_Resets!$K15)/50)*((Calculator!AU26-Calculator!AW$4)*10000)+Volatilities_Resets!$K15)),IF(AU26&gt;=AW$3,IF(AU26&lt;AX$3,(((Volatilities_Resets!$K15-Volatilities_Resets!$I15)/50)*((Calculator!AU26-Calculator!AW$3)*10000)+Volatilities_Resets!$I15)),IF(AU26&gt;=AW$2,IF(AU26&lt;AX$2,(((Volatilities_Resets!$I15-Volatilities_Resets!$G15)/50)*((Calculator!AU26-Calculator!AW$2)*10000)+Volatilities_Resets!$G15)),"Well, something broke...")))))))))))/10000</f>
        <v>2.1578E-2</v>
      </c>
      <c r="AX26" s="84">
        <f t="shared" ca="1" si="30"/>
        <v>15919.681544115932</v>
      </c>
      <c r="AY26" s="84">
        <f t="shared" ca="1" si="31"/>
        <v>6.3988150861318252E-4</v>
      </c>
      <c r="AZ26" s="84">
        <f t="shared" ca="1" si="46"/>
        <v>235228.85726091661</v>
      </c>
      <c r="BA26" s="84">
        <f ca="1">SUM(AX15:AX26)</f>
        <v>235228.85726091661</v>
      </c>
      <c r="BB26" s="49"/>
      <c r="BC26" s="84">
        <f t="shared" ca="1" si="8"/>
        <v>73.920996030360314</v>
      </c>
      <c r="BD26" s="84">
        <f ca="1">SUM($BC$15:BC26)</f>
        <v>627.67604030213033</v>
      </c>
      <c r="BF26" s="52">
        <f ca="1">EXP(-AVERAGE(AV$15:AV26)*AS26)</f>
        <v>0.95559274548654372</v>
      </c>
      <c r="BH26" s="75">
        <f t="shared" ca="1" si="32"/>
        <v>12</v>
      </c>
      <c r="BI26" s="76">
        <f t="shared" ca="1" si="33"/>
        <v>45345</v>
      </c>
      <c r="BJ26" s="76">
        <f t="shared" ca="1" si="9"/>
        <v>45374</v>
      </c>
      <c r="BK26" s="77">
        <f t="shared" ca="1" si="10"/>
        <v>29</v>
      </c>
      <c r="BL26" s="78">
        <f ca="1">SUM(BK$15:BK26)/360</f>
        <v>1.0166666666666666</v>
      </c>
      <c r="BM26" s="79">
        <f t="shared" si="11"/>
        <v>25000000</v>
      </c>
      <c r="BN26" s="80">
        <f t="shared" si="34"/>
        <v>0.05</v>
      </c>
      <c r="BO26" s="81">
        <f>Volatilities_Resets!$E15*0.01</f>
        <v>3.9172400000000003E-2</v>
      </c>
      <c r="BP26" s="82">
        <f>IF(BN26=BQ$11,Volatilities_Resets!$AA15,IF(BN26&gt;=BP$11,IF(BN26&lt;BQ$11,(((Volatilities_Resets!$AA15-Volatilities_Resets!$Y15)/50)*((Calculator!BN26-Calculator!BP$11)*10000)+Volatilities_Resets!$Y15)),IF(BN26&gt;=BP$10,IF(BN26&lt;BQ$10,(((Volatilities_Resets!$Y15-Volatilities_Resets!$W15)/50)*((Calculator!BN26-Calculator!BP$10)*10000)+Volatilities_Resets!$W15)),IF(BN26&gt;=BP$9,IF(BN26&lt;BQ$9,(((Volatilities_Resets!$W15-Volatilities_Resets!$U15)/50)*((Calculator!BN26-Calculator!BP$9)*10000)+Volatilities_Resets!$U15)),IF(BN26&gt;=BP$8,IF(BN26&lt;BQ$8,(((Volatilities_Resets!$U15-Volatilities_Resets!$S15)/50)*((Calculator!BN26-Calculator!BP$8)*10000)+Volatilities_Resets!$S15)),IF(BN26&gt;=BP$7,IF(BN26&lt;BQ$7,(((Volatilities_Resets!$S15-Volatilities_Resets!$Q15)/50)*((Calculator!BN26-Calculator!BP$7)*10000)+Volatilities_Resets!$Q15)),IF(BN26&gt;=BP$6,IF(BN26&lt;BQ$6,(((Volatilities_Resets!$Q15-Volatilities_Resets!$O15)/50)*((Calculator!BN26-Calculator!BP$6)*10000)+Volatilities_Resets!$O15)),IF(BN26&gt;=BP$5,IF(BN26&lt;BQ$5,(((Volatilities_Resets!$O15-Volatilities_Resets!$M15)/50)*((Calculator!BN26-Calculator!BP$5)*10000)+Volatilities_Resets!$M15)),IF(BN26&gt;=BP$4,IF(BN26&lt;BQ$4,(((Volatilities_Resets!$M15-Volatilities_Resets!$K15)/50)*((Calculator!BN26-Calculator!BP$4)*10000)+Volatilities_Resets!$K15)),IF(BN26&gt;=BP$3,IF(BN26&lt;BQ$3,(((Volatilities_Resets!$K15-Volatilities_Resets!$I15)/50)*((Calculator!BN26-Calculator!BP$3)*10000)+Volatilities_Resets!$I15)),IF(BN26&gt;=BP$2,IF(BN26&lt;BQ$2,(((Volatilities_Resets!$I15-Volatilities_Resets!$G15)/50)*((Calculator!BN26-Calculator!BP$2)*10000)+Volatilities_Resets!$G15)),"Well, something broke...")))))))))))/10000</f>
        <v>2.0227000000000002E-2</v>
      </c>
      <c r="BQ26" s="84">
        <f t="shared" ca="1" si="35"/>
        <v>7395.7143697767006</v>
      </c>
      <c r="BR26" s="84">
        <f t="shared" ca="1" si="36"/>
        <v>2.9851989391930909E-4</v>
      </c>
      <c r="BS26" s="84">
        <f t="shared" ca="1" si="47"/>
        <v>87555.112018960193</v>
      </c>
      <c r="BT26" s="84">
        <f ca="1">SUM(BQ15:BQ26)</f>
        <v>87555.112018960193</v>
      </c>
      <c r="BU26" s="49"/>
      <c r="BV26" s="84">
        <f t="shared" ca="1" si="37"/>
        <v>64.295125868408249</v>
      </c>
      <c r="BW26" s="84">
        <f ca="1">SUM($BV$15:BV26)</f>
        <v>629.89733861725097</v>
      </c>
      <c r="BY26" s="52">
        <f ca="1">EXP(-AVERAGE(BO$15:BO26)*BL26)</f>
        <v>0.95559274548654372</v>
      </c>
      <c r="CA26" s="75">
        <f t="shared" ca="1" si="38"/>
        <v>12</v>
      </c>
      <c r="CB26" s="76">
        <f t="shared" ca="1" si="39"/>
        <v>45345</v>
      </c>
      <c r="CC26" s="76">
        <f t="shared" ca="1" si="12"/>
        <v>45374</v>
      </c>
      <c r="CD26" s="77">
        <f t="shared" ca="1" si="13"/>
        <v>29</v>
      </c>
      <c r="CE26" s="78">
        <f ca="1">SUM(CD$15:CD26)/360</f>
        <v>1.0166666666666666</v>
      </c>
      <c r="CF26" s="79">
        <f t="shared" si="14"/>
        <v>25000000</v>
      </c>
      <c r="CG26" s="80">
        <f t="shared" si="40"/>
        <v>0.06</v>
      </c>
      <c r="CH26" s="81">
        <f>Volatilities_Resets!$E15*0.01</f>
        <v>3.9172400000000003E-2</v>
      </c>
      <c r="CI26" s="82">
        <f>IF(CG26=CJ$11,Volatilities_Resets!$AA15,IF(CG26&gt;=CI$11,IF(CG26&lt;CJ$11,(((Volatilities_Resets!$AA15-Volatilities_Resets!$Y15)/50)*((Calculator!CG26-Calculator!CI$11)*10000)+Volatilities_Resets!$Y15)),IF(CG26&gt;=CI$10,IF(CG26&lt;CJ$10,(((Volatilities_Resets!$Y15-Volatilities_Resets!$W15)/50)*((Calculator!CG26-Calculator!CI$10)*10000)+Volatilities_Resets!$W15)),IF(CG26&gt;=CI$9,IF(CG26&lt;CJ$9,(((Volatilities_Resets!$W15-Volatilities_Resets!$U15)/50)*((Calculator!CG26-Calculator!CI$9)*10000)+Volatilities_Resets!$U15)),IF(CG26&gt;=CI$8,IF(CG26&lt;CJ$8,(((Volatilities_Resets!$U15-Volatilities_Resets!$S15)/50)*((Calculator!CG26-Calculator!CI$8)*10000)+Volatilities_Resets!$S15)),IF(CG26&gt;=CI$7,IF(CG26&lt;CJ$7,(((Volatilities_Resets!$S15-Volatilities_Resets!$Q15)/50)*((Calculator!CG26-Calculator!CI$7)*10000)+Volatilities_Resets!$Q15)),IF(CG26&gt;=CI$6,IF(CG26&lt;CJ$6,(((Volatilities_Resets!$Q15-Volatilities_Resets!$O15)/50)*((Calculator!CG26-Calculator!CI$6)*10000)+Volatilities_Resets!$O15)),IF(CG26&gt;=CI$5,IF(CG26&lt;CJ$5,(((Volatilities_Resets!$O15-Volatilities_Resets!$M15)/50)*((Calculator!CG26-Calculator!CI$5)*10000)+Volatilities_Resets!$M15)),IF(CG26&gt;=CI$4,IF(CG26&lt;CJ$4,(((Volatilities_Resets!$M15-Volatilities_Resets!$K15)/50)*((Calculator!CG26-Calculator!CI$4)*10000)+Volatilities_Resets!$K15)),IF(CG26&gt;=CI$3,IF(CG26&lt;CJ$3,(((Volatilities_Resets!$K15-Volatilities_Resets!$I15)/50)*((Calculator!CG26-Calculator!CI$3)*10000)+Volatilities_Resets!$I15)),IF(CG26&gt;=CI$2,IF(CG26&lt;CJ$2,(((Volatilities_Resets!$I15-Volatilities_Resets!$G15)/50)*((Calculator!CG26-Calculator!CI$2)*10000)+Volatilities_Resets!$G15)),"Well, something broke...")))))))))))/10000</f>
        <v>2.0142E-2</v>
      </c>
      <c r="CJ26" s="84">
        <f t="shared" ca="1" si="41"/>
        <v>3101.0723249160719</v>
      </c>
      <c r="CK26" s="84">
        <f t="shared" ca="1" si="42"/>
        <v>1.2587783007530693E-4</v>
      </c>
      <c r="CL26" s="84">
        <f t="shared" ca="1" si="48"/>
        <v>21285.763988866678</v>
      </c>
      <c r="CM26" s="84">
        <f ca="1">SUM(CJ15:CJ26)</f>
        <v>21285.763988866678</v>
      </c>
      <c r="CN26" s="49"/>
      <c r="CO26" s="84">
        <f t="shared" ca="1" si="43"/>
        <v>43.836314019890963</v>
      </c>
      <c r="CP26" s="84">
        <f ca="1">SUM($CO$15:CO26)</f>
        <v>354.04362060921619</v>
      </c>
      <c r="CR26" s="52">
        <f ca="1">EXP(-AVERAGE(CH$15:CH26)*CE26)</f>
        <v>0.95559274548654372</v>
      </c>
      <c r="CT26"/>
      <c r="CU26"/>
      <c r="CV26"/>
      <c r="CW26"/>
      <c r="CX26"/>
      <c r="CY26"/>
      <c r="CZ26"/>
      <c r="DA26"/>
      <c r="DB26"/>
      <c r="DC26"/>
      <c r="DD26"/>
      <c r="DE26"/>
      <c r="DF26"/>
      <c r="DG26"/>
      <c r="DH26"/>
      <c r="DI26"/>
      <c r="DJ26"/>
      <c r="DK26"/>
      <c r="DL26"/>
    </row>
    <row r="27" spans="2:116" ht="15.75" customHeight="1">
      <c r="B27" s="52">
        <v>2</v>
      </c>
      <c r="C27" s="52">
        <f t="shared" ca="1" si="15"/>
        <v>13</v>
      </c>
      <c r="D27" s="71">
        <f t="shared" ca="1" si="16"/>
        <v>45374</v>
      </c>
      <c r="E27" s="71">
        <f t="shared" ca="1" si="0"/>
        <v>45405</v>
      </c>
      <c r="F27" s="72">
        <f t="shared" ca="1" si="1"/>
        <v>31</v>
      </c>
      <c r="G27" s="73">
        <f ca="1">SUM($F$15:F27)/360</f>
        <v>1.1027777777777779</v>
      </c>
      <c r="H27" s="74">
        <f t="shared" si="2"/>
        <v>25000000</v>
      </c>
      <c r="I27" s="59">
        <f>IF('Cap Pricer'!$E$22=DataValidation!$C$2,'Cap Pricer'!$E$23,IF('Cap Pricer'!$E$22=DataValidation!$C$3,VLOOKUP($B27,'Cap Pricer'!$C$25:$E$31,3),""))</f>
        <v>0.02</v>
      </c>
      <c r="J27" s="57">
        <f>Volatilities_Resets!$E16*0.01</f>
        <v>3.4337300000000001E-2</v>
      </c>
      <c r="K27" s="61">
        <f>IF(I27=L$11,Volatilities_Resets!$AA16,IF(I27&gt;=K$11,IF(I27&lt;L$11,(((Volatilities_Resets!$AA16-Volatilities_Resets!$Y16)/50)*((Calculator!I27-Calculator!K$11)*10000)+Volatilities_Resets!$Y16)),IF(I27&gt;=K$10,IF(I27&lt;L$10,(((Volatilities_Resets!$Y16-Volatilities_Resets!$W16)/50)*((Calculator!I27-Calculator!K$10)*10000)+Volatilities_Resets!$W16)),IF(I27&gt;=K$9,IF(I27&lt;L$9,(((Volatilities_Resets!$W16-Volatilities_Resets!$U16)/50)*((Calculator!I27-Calculator!K$9)*10000)+Volatilities_Resets!$U16)),IF(I27&gt;=K$8,IF(I27&lt;L$8,(((Volatilities_Resets!$U16-Volatilities_Resets!$S16)/50)*((Calculator!I27-Calculator!K$8)*10000)+Volatilities_Resets!$S16)),IF(I27&gt;=K$7,IF(I27&lt;L$7,(((Volatilities_Resets!$S16-Volatilities_Resets!$Q16)/50)*((Calculator!I27-Calculator!K$7)*10000)+Volatilities_Resets!$Q16)),IF(I27&gt;=K$6,IF(I27&lt;L$6,(((Volatilities_Resets!$Q16-Volatilities_Resets!$O16)/50)*((Calculator!I27-Calculator!K$6)*10000)+Volatilities_Resets!$O16)),IF(I27&gt;=K$5,IF(I27&lt;L$5,(((Volatilities_Resets!$O16-Volatilities_Resets!$M16)/50)*((Calculator!I27-Calculator!K$5)*10000)+Volatilities_Resets!$M16)),IF(I27&gt;=K$4,IF(I27&lt;L$4,(((Volatilities_Resets!$M16-Volatilities_Resets!$K16)/50)*((Calculator!I27-Calculator!K$4)*10000)+Volatilities_Resets!$K16)),IF(I27&gt;=K$3,IF(I27&lt;L$3,(((Volatilities_Resets!$K16-Volatilities_Resets!$I16)/50)*((Calculator!I27-Calculator!K$3)*10000)+Volatilities_Resets!$I16)),IF(I27&gt;=K$2,IF(I27&lt;L$2,(((Volatilities_Resets!$I16-Volatilities_Resets!$G16)/50)*((Calculator!I27-Calculator!K$2)*10000)+Volatilities_Resets!$G16)),"Well, something broke...")))))))))))/10000</f>
        <v>2.1217E-2</v>
      </c>
      <c r="L27" s="47">
        <f t="shared" ca="1" si="17"/>
        <v>36584.403730576407</v>
      </c>
      <c r="M27" s="63">
        <f t="shared" ca="1" si="18"/>
        <v>1.4661732163358207E-3</v>
      </c>
      <c r="N27" s="63">
        <f t="shared" ca="1" si="44"/>
        <v>685682.09008650458</v>
      </c>
      <c r="Q27" s="63">
        <f t="shared" ca="1" si="19"/>
        <v>66.623255402484418</v>
      </c>
      <c r="R27" s="63">
        <f ca="1">SUM($Q$15:Q27)</f>
        <v>418.48616379682773</v>
      </c>
      <c r="T27" s="52">
        <f ca="1">EXP(-AVERAGE(J$15:J27)*G27)</f>
        <v>0.95275876790296143</v>
      </c>
      <c r="U27" s="57"/>
      <c r="V27" s="52">
        <f t="shared" ca="1" si="20"/>
        <v>13</v>
      </c>
      <c r="W27" s="71">
        <f t="shared" ca="1" si="21"/>
        <v>45374</v>
      </c>
      <c r="X27" s="71">
        <f t="shared" ca="1" si="3"/>
        <v>45405</v>
      </c>
      <c r="Y27" s="72">
        <f t="shared" ca="1" si="4"/>
        <v>31</v>
      </c>
      <c r="Z27" s="73">
        <f ca="1">SUM(Y$15:Y27)/360</f>
        <v>1.1027777777777779</v>
      </c>
      <c r="AA27" s="74">
        <f t="shared" si="22"/>
        <v>25000000</v>
      </c>
      <c r="AB27" s="59">
        <f t="shared" si="23"/>
        <v>0.03</v>
      </c>
      <c r="AC27" s="57">
        <f>Volatilities_Resets!$E16*0.01</f>
        <v>3.4337300000000001E-2</v>
      </c>
      <c r="AD27" s="61">
        <f>IF(AB27=AE$11,Volatilities_Resets!$AA16,IF(AB27&gt;=AD$11,IF(AB27&lt;AE$11,(((Volatilities_Resets!$AA16-Volatilities_Resets!$Y16)/50)*((Calculator!AB27-Calculator!AD$11)*10000)+Volatilities_Resets!$Y16)),IF(AB27&gt;=AD$10,IF(AB27&lt;AE$10,(((Volatilities_Resets!$Y16-Volatilities_Resets!$W16)/50)*((Calculator!AB27-Calculator!AD$10)*10000)+Volatilities_Resets!$W16)),IF(AB27&gt;=AD$9,IF(AB27&lt;AE$9,(((Volatilities_Resets!$W16-Volatilities_Resets!$U16)/50)*((Calculator!AB27-Calculator!AD$9)*10000)+Volatilities_Resets!$U16)),IF(AB27&gt;=AD$8,IF(AB27&lt;AE$8,(((Volatilities_Resets!$U16-Volatilities_Resets!$S16)/50)*((Calculator!AB27-Calculator!AD$8)*10000)+Volatilities_Resets!$S16)),IF(AB27&gt;=AD$7,IF(AB27&lt;AE$7,(((Volatilities_Resets!$S16-Volatilities_Resets!$Q16)/50)*((Calculator!AB27-Calculator!AD$7)*10000)+Volatilities_Resets!$Q16)),IF(AB27&gt;=AD$6,IF(AB27&lt;AE$6,(((Volatilities_Resets!$Q16-Volatilities_Resets!$O16)/50)*((Calculator!AB27-Calculator!AD$6)*10000)+Volatilities_Resets!$O16)),IF(AB27&gt;=AD$5,IF(AB27&lt;AE$5,(((Volatilities_Resets!$O16-Volatilities_Resets!$M16)/50)*((Calculator!AB27-Calculator!AD$5)*10000)+Volatilities_Resets!$M16)),IF(AB27&gt;=AD$4,IF(AB27&lt;AE$4,(((Volatilities_Resets!$M16-Volatilities_Resets!$K16)/50)*((Calculator!AB27-Calculator!AD$4)*10000)+Volatilities_Resets!$K16)),IF(AB27&gt;=AD$3,IF(AB27&lt;AE$3,(((Volatilities_Resets!$K16-Volatilities_Resets!$I16)/50)*((Calculator!AB27-Calculator!AD$3)*10000)+Volatilities_Resets!$I16)),IF(AB27&gt;=AD$2,IF(AB27&lt;AE$2,(((Volatilities_Resets!$I16-Volatilities_Resets!$G16)/50)*((Calculator!AB27-Calculator!AD$2)*10000)+Volatilities_Resets!$G16)),"Well, something broke...")))))))))))/10000</f>
        <v>2.1434000000000002E-2</v>
      </c>
      <c r="AE27" s="63">
        <f t="shared" ca="1" si="24"/>
        <v>23206.831121934301</v>
      </c>
      <c r="AF27" s="63">
        <f t="shared" ca="1" si="25"/>
        <v>9.3164744331855154E-4</v>
      </c>
      <c r="AG27" s="63">
        <f t="shared" ca="1" si="45"/>
        <v>455041.41959736292</v>
      </c>
      <c r="AJ27" s="63">
        <f t="shared" ca="1" si="26"/>
        <v>80.369928736956908</v>
      </c>
      <c r="AK27" s="63">
        <f ca="1">SUM($AJ$15:AJ27)</f>
        <v>574.44455653222064</v>
      </c>
      <c r="AM27" s="52">
        <f ca="1">EXP(-AVERAGE(AC$15:AC27)*Z27)</f>
        <v>0.95275876790296143</v>
      </c>
      <c r="AO27" s="52">
        <f t="shared" ca="1" si="27"/>
        <v>13</v>
      </c>
      <c r="AP27" s="71">
        <f t="shared" ca="1" si="28"/>
        <v>45374</v>
      </c>
      <c r="AQ27" s="71">
        <f t="shared" ca="1" si="5"/>
        <v>45405</v>
      </c>
      <c r="AR27" s="72">
        <f t="shared" ca="1" si="6"/>
        <v>31</v>
      </c>
      <c r="AS27" s="73">
        <f ca="1">SUM(AR$15:AR27)/360</f>
        <v>1.1027777777777779</v>
      </c>
      <c r="AT27" s="74">
        <f t="shared" si="7"/>
        <v>25000000</v>
      </c>
      <c r="AU27" s="59">
        <f t="shared" si="29"/>
        <v>0.04</v>
      </c>
      <c r="AV27" s="57">
        <f>Volatilities_Resets!$E16*0.01</f>
        <v>3.4337300000000001E-2</v>
      </c>
      <c r="AW27" s="61">
        <f>IF(AU27=AX$11,Volatilities_Resets!$AA16,IF(AU27&gt;=AW$11,IF(AU27&lt;AX$11,(((Volatilities_Resets!$AA16-Volatilities_Resets!$Y16)/50)*((Calculator!AU27-Calculator!AW$11)*10000)+Volatilities_Resets!$Y16)),IF(AU27&gt;=AW$10,IF(AU27&lt;AX$10,(((Volatilities_Resets!$Y16-Volatilities_Resets!$W16)/50)*((Calculator!AU27-Calculator!AW$10)*10000)+Volatilities_Resets!$W16)),IF(AU27&gt;=AW$9,IF(AU27&lt;AX$9,(((Volatilities_Resets!$W16-Volatilities_Resets!$U16)/50)*((Calculator!AU27-Calculator!AW$9)*10000)+Volatilities_Resets!$U16)),IF(AU27&gt;=AW$8,IF(AU27&lt;AX$8,(((Volatilities_Resets!$U16-Volatilities_Resets!$S16)/50)*((Calculator!AU27-Calculator!AW$8)*10000)+Volatilities_Resets!$S16)),IF(AU27&gt;=AW$7,IF(AU27&lt;AX$7,(((Volatilities_Resets!$S16-Volatilities_Resets!$Q16)/50)*((Calculator!AU27-Calculator!AW$7)*10000)+Volatilities_Resets!$Q16)),IF(AU27&gt;=AW$6,IF(AU27&lt;AX$6,(((Volatilities_Resets!$Q16-Volatilities_Resets!$O16)/50)*((Calculator!AU27-Calculator!AW$6)*10000)+Volatilities_Resets!$O16)),IF(AU27&gt;=AW$5,IF(AU27&lt;AX$5,(((Volatilities_Resets!$O16-Volatilities_Resets!$M16)/50)*((Calculator!AU27-Calculator!AW$5)*10000)+Volatilities_Resets!$M16)),IF(AU27&gt;=AW$4,IF(AU27&lt;AX$4,(((Volatilities_Resets!$M16-Volatilities_Resets!$K16)/50)*((Calculator!AU27-Calculator!AW$4)*10000)+Volatilities_Resets!$K16)),IF(AU27&gt;=AW$3,IF(AU27&lt;AX$3,(((Volatilities_Resets!$K16-Volatilities_Resets!$I16)/50)*((Calculator!AU27-Calculator!AW$3)*10000)+Volatilities_Resets!$I16)),IF(AU27&gt;=AW$2,IF(AU27&lt;AX$2,(((Volatilities_Resets!$I16-Volatilities_Resets!$G16)/50)*((Calculator!AU27-Calculator!AW$2)*10000)+Volatilities_Resets!$G16)),"Well, something broke...")))))))))))/10000</f>
        <v>2.1107000000000001E-2</v>
      </c>
      <c r="AX27" s="63">
        <f t="shared" ca="1" si="30"/>
        <v>12918.255663473099</v>
      </c>
      <c r="AY27" s="63">
        <f t="shared" ca="1" si="31"/>
        <v>5.2005751224696174E-4</v>
      </c>
      <c r="AZ27" s="63">
        <f t="shared" ca="1" si="46"/>
        <v>248147.11292438972</v>
      </c>
      <c r="BC27" s="63">
        <f t="shared" ca="1" si="8"/>
        <v>79.252515791279663</v>
      </c>
      <c r="BD27" s="63">
        <f ca="1">SUM($BC$15:BC27)</f>
        <v>706.92855609340995</v>
      </c>
      <c r="BF27" s="52">
        <f ca="1">EXP(-AVERAGE(AV$15:AV27)*AS27)</f>
        <v>0.95275876790296143</v>
      </c>
      <c r="BH27" s="52">
        <f t="shared" ca="1" si="32"/>
        <v>13</v>
      </c>
      <c r="BI27" s="71">
        <f t="shared" ca="1" si="33"/>
        <v>45374</v>
      </c>
      <c r="BJ27" s="71">
        <f t="shared" ca="1" si="9"/>
        <v>45405</v>
      </c>
      <c r="BK27" s="72">
        <f t="shared" ca="1" si="10"/>
        <v>31</v>
      </c>
      <c r="BL27" s="73">
        <f ca="1">SUM(BK$15:BK27)/360</f>
        <v>1.1027777777777779</v>
      </c>
      <c r="BM27" s="74">
        <f t="shared" si="11"/>
        <v>25000000</v>
      </c>
      <c r="BN27" s="59">
        <f t="shared" si="34"/>
        <v>0.05</v>
      </c>
      <c r="BO27" s="57">
        <f>Volatilities_Resets!$E16*0.01</f>
        <v>3.4337300000000001E-2</v>
      </c>
      <c r="BP27" s="61">
        <f>IF(BN27=BQ$11,Volatilities_Resets!$AA16,IF(BN27&gt;=BP$11,IF(BN27&lt;BQ$11,(((Volatilities_Resets!$AA16-Volatilities_Resets!$Y16)/50)*((Calculator!BN27-Calculator!BP$11)*10000)+Volatilities_Resets!$Y16)),IF(BN27&gt;=BP$10,IF(BN27&lt;BQ$10,(((Volatilities_Resets!$Y16-Volatilities_Resets!$W16)/50)*((Calculator!BN27-Calculator!BP$10)*10000)+Volatilities_Resets!$W16)),IF(BN27&gt;=BP$9,IF(BN27&lt;BQ$9,(((Volatilities_Resets!$W16-Volatilities_Resets!$U16)/50)*((Calculator!BN27-Calculator!BP$9)*10000)+Volatilities_Resets!$U16)),IF(BN27&gt;=BP$8,IF(BN27&lt;BQ$8,(((Volatilities_Resets!$U16-Volatilities_Resets!$S16)/50)*((Calculator!BN27-Calculator!BP$8)*10000)+Volatilities_Resets!$S16)),IF(BN27&gt;=BP$7,IF(BN27&lt;BQ$7,(((Volatilities_Resets!$S16-Volatilities_Resets!$Q16)/50)*((Calculator!BN27-Calculator!BP$7)*10000)+Volatilities_Resets!$Q16)),IF(BN27&gt;=BP$6,IF(BN27&lt;BQ$6,(((Volatilities_Resets!$Q16-Volatilities_Resets!$O16)/50)*((Calculator!BN27-Calculator!BP$6)*10000)+Volatilities_Resets!$O16)),IF(BN27&gt;=BP$5,IF(BN27&lt;BQ$5,(((Volatilities_Resets!$O16-Volatilities_Resets!$M16)/50)*((Calculator!BN27-Calculator!BP$5)*10000)+Volatilities_Resets!$M16)),IF(BN27&gt;=BP$4,IF(BN27&lt;BQ$4,(((Volatilities_Resets!$M16-Volatilities_Resets!$K16)/50)*((Calculator!BN27-Calculator!BP$4)*10000)+Volatilities_Resets!$K16)),IF(BN27&gt;=BP$3,IF(BN27&lt;BQ$3,(((Volatilities_Resets!$K16-Volatilities_Resets!$I16)/50)*((Calculator!BN27-Calculator!BP$3)*10000)+Volatilities_Resets!$I16)),IF(BN27&gt;=BP$2,IF(BN27&lt;BQ$2,(((Volatilities_Resets!$I16-Volatilities_Resets!$G16)/50)*((Calculator!BN27-Calculator!BP$2)*10000)+Volatilities_Resets!$G16)),"Well, something broke...")))))))))))/10000</f>
        <v>2.0819999999999998E-2</v>
      </c>
      <c r="BQ27" s="63">
        <f t="shared" ca="1" si="35"/>
        <v>6231.4845722852151</v>
      </c>
      <c r="BR27" s="63">
        <f t="shared" ca="1" si="36"/>
        <v>2.5192188391017498E-4</v>
      </c>
      <c r="BS27" s="63">
        <f t="shared" ca="1" si="47"/>
        <v>93786.596591245412</v>
      </c>
      <c r="BV27" s="63">
        <f t="shared" ca="1" si="37"/>
        <v>63.418029754505433</v>
      </c>
      <c r="BW27" s="63">
        <f ca="1">SUM($BV$15:BV27)</f>
        <v>693.31536837175645</v>
      </c>
      <c r="BY27" s="52">
        <f ca="1">EXP(-AVERAGE(BO$15:BO27)*BL27)</f>
        <v>0.95275876790296143</v>
      </c>
      <c r="CA27" s="52">
        <f t="shared" ca="1" si="38"/>
        <v>13</v>
      </c>
      <c r="CB27" s="71">
        <f t="shared" ca="1" si="39"/>
        <v>45374</v>
      </c>
      <c r="CC27" s="71">
        <f t="shared" ca="1" si="12"/>
        <v>45405</v>
      </c>
      <c r="CD27" s="72">
        <f t="shared" ca="1" si="13"/>
        <v>31</v>
      </c>
      <c r="CE27" s="73">
        <f ca="1">SUM(CD$15:CD27)/360</f>
        <v>1.1027777777777779</v>
      </c>
      <c r="CF27" s="74">
        <f t="shared" si="14"/>
        <v>25000000</v>
      </c>
      <c r="CG27" s="59">
        <f t="shared" si="40"/>
        <v>0.06</v>
      </c>
      <c r="CH27" s="57">
        <f>Volatilities_Resets!$E16*0.01</f>
        <v>3.4337300000000001E-2</v>
      </c>
      <c r="CI27" s="61">
        <f>IF(CG27=CJ$11,Volatilities_Resets!$AA16,IF(CG27&gt;=CI$11,IF(CG27&lt;CJ$11,(((Volatilities_Resets!$AA16-Volatilities_Resets!$Y16)/50)*((Calculator!CG27-Calculator!CI$11)*10000)+Volatilities_Resets!$Y16)),IF(CG27&gt;=CI$10,IF(CG27&lt;CJ$10,(((Volatilities_Resets!$Y16-Volatilities_Resets!$W16)/50)*((Calculator!CG27-Calculator!CI$10)*10000)+Volatilities_Resets!$W16)),IF(CG27&gt;=CI$9,IF(CG27&lt;CJ$9,(((Volatilities_Resets!$W16-Volatilities_Resets!$U16)/50)*((Calculator!CG27-Calculator!CI$9)*10000)+Volatilities_Resets!$U16)),IF(CG27&gt;=CI$8,IF(CG27&lt;CJ$8,(((Volatilities_Resets!$U16-Volatilities_Resets!$S16)/50)*((Calculator!CG27-Calculator!CI$8)*10000)+Volatilities_Resets!$S16)),IF(CG27&gt;=CI$7,IF(CG27&lt;CJ$7,(((Volatilities_Resets!$S16-Volatilities_Resets!$Q16)/50)*((Calculator!CG27-Calculator!CI$7)*10000)+Volatilities_Resets!$Q16)),IF(CG27&gt;=CI$6,IF(CG27&lt;CJ$6,(((Volatilities_Resets!$Q16-Volatilities_Resets!$O16)/50)*((Calculator!CG27-Calculator!CI$6)*10000)+Volatilities_Resets!$O16)),IF(CG27&gt;=CI$5,IF(CG27&lt;CJ$5,(((Volatilities_Resets!$O16-Volatilities_Resets!$M16)/50)*((Calculator!CG27-Calculator!CI$5)*10000)+Volatilities_Resets!$M16)),IF(CG27&gt;=CI$4,IF(CG27&lt;CJ$4,(((Volatilities_Resets!$M16-Volatilities_Resets!$K16)/50)*((Calculator!CG27-Calculator!CI$4)*10000)+Volatilities_Resets!$K16)),IF(CG27&gt;=CI$3,IF(CG27&lt;CJ$3,(((Volatilities_Resets!$K16-Volatilities_Resets!$I16)/50)*((Calculator!CG27-Calculator!CI$3)*10000)+Volatilities_Resets!$I16)),IF(CG27&gt;=CI$2,IF(CG27&lt;CJ$2,(((Volatilities_Resets!$I16-Volatilities_Resets!$G16)/50)*((Calculator!CG27-Calculator!CI$2)*10000)+Volatilities_Resets!$G16)),"Well, something broke...")))))))))))/10000</f>
        <v>2.1736000000000002E-2</v>
      </c>
      <c r="CJ27" s="63">
        <f t="shared" ca="1" si="41"/>
        <v>3061.2738839598169</v>
      </c>
      <c r="CK27" s="63">
        <f t="shared" ca="1" si="42"/>
        <v>1.2428315657495468E-4</v>
      </c>
      <c r="CL27" s="63">
        <f t="shared" ca="1" si="48"/>
        <v>24347.037872826495</v>
      </c>
      <c r="CO27" s="63">
        <f t="shared" ca="1" si="43"/>
        <v>43.641144341047948</v>
      </c>
      <c r="CP27" s="63">
        <f ca="1">SUM($CO$15:CO27)</f>
        <v>397.68476495026414</v>
      </c>
      <c r="CR27" s="52">
        <f ca="1">EXP(-AVERAGE(CH$15:CH27)*CE27)</f>
        <v>0.95275876790296143</v>
      </c>
      <c r="CT27"/>
      <c r="CU27"/>
      <c r="CV27"/>
      <c r="CW27"/>
      <c r="CX27"/>
      <c r="CY27"/>
      <c r="CZ27"/>
      <c r="DA27"/>
      <c r="DB27"/>
      <c r="DC27"/>
      <c r="DD27"/>
      <c r="DE27"/>
      <c r="DF27"/>
      <c r="DG27"/>
      <c r="DH27"/>
      <c r="DI27"/>
      <c r="DJ27"/>
      <c r="DK27"/>
      <c r="DL27"/>
    </row>
    <row r="28" spans="2:116" ht="15.75" customHeight="1">
      <c r="B28" s="52">
        <v>2</v>
      </c>
      <c r="C28" s="52">
        <f t="shared" ca="1" si="15"/>
        <v>14</v>
      </c>
      <c r="D28" s="71">
        <f t="shared" ca="1" si="16"/>
        <v>45405</v>
      </c>
      <c r="E28" s="71">
        <f t="shared" ca="1" si="0"/>
        <v>45435</v>
      </c>
      <c r="F28" s="72">
        <f t="shared" ca="1" si="1"/>
        <v>30</v>
      </c>
      <c r="G28" s="73">
        <f ca="1">SUM($F$15:F28)/360</f>
        <v>1.1861111111111111</v>
      </c>
      <c r="H28" s="74">
        <f t="shared" si="2"/>
        <v>25000000</v>
      </c>
      <c r="I28" s="59">
        <f>IF('Cap Pricer'!$E$22=DataValidation!$C$2,'Cap Pricer'!$E$23,IF('Cap Pricer'!$E$22=DataValidation!$C$3,VLOOKUP($B28,'Cap Pricer'!$C$25:$E$31,3),""))</f>
        <v>0.02</v>
      </c>
      <c r="J28" s="57">
        <f>Volatilities_Resets!$E17*0.01</f>
        <v>3.4337300000000001E-2</v>
      </c>
      <c r="K28" s="61">
        <f>IF(I28=L$11,Volatilities_Resets!$AA17,IF(I28&gt;=K$11,IF(I28&lt;L$11,(((Volatilities_Resets!$AA17-Volatilities_Resets!$Y17)/50)*((Calculator!I28-Calculator!K$11)*10000)+Volatilities_Resets!$Y17)),IF(I28&gt;=K$10,IF(I28&lt;L$10,(((Volatilities_Resets!$Y17-Volatilities_Resets!$W17)/50)*((Calculator!I28-Calculator!K$10)*10000)+Volatilities_Resets!$W17)),IF(I28&gt;=K$9,IF(I28&lt;L$9,(((Volatilities_Resets!$W17-Volatilities_Resets!$U17)/50)*((Calculator!I28-Calculator!K$9)*10000)+Volatilities_Resets!$U17)),IF(I28&gt;=K$8,IF(I28&lt;L$8,(((Volatilities_Resets!$U17-Volatilities_Resets!$S17)/50)*((Calculator!I28-Calculator!K$8)*10000)+Volatilities_Resets!$S17)),IF(I28&gt;=K$7,IF(I28&lt;L$7,(((Volatilities_Resets!$S17-Volatilities_Resets!$Q17)/50)*((Calculator!I28-Calculator!K$7)*10000)+Volatilities_Resets!$Q17)),IF(I28&gt;=K$6,IF(I28&lt;L$6,(((Volatilities_Resets!$Q17-Volatilities_Resets!$O17)/50)*((Calculator!I28-Calculator!K$6)*10000)+Volatilities_Resets!$O17)),IF(I28&gt;=K$5,IF(I28&lt;L$5,(((Volatilities_Resets!$O17-Volatilities_Resets!$M17)/50)*((Calculator!I28-Calculator!K$5)*10000)+Volatilities_Resets!$M17)),IF(I28&gt;=K$4,IF(I28&lt;L$4,(((Volatilities_Resets!$M17-Volatilities_Resets!$K17)/50)*((Calculator!I28-Calculator!K$4)*10000)+Volatilities_Resets!$K17)),IF(I28&gt;=K$3,IF(I28&lt;L$3,(((Volatilities_Resets!$K17-Volatilities_Resets!$I17)/50)*((Calculator!I28-Calculator!K$3)*10000)+Volatilities_Resets!$I17)),IF(I28&gt;=K$2,IF(I28&lt;L$2,(((Volatilities_Resets!$I17-Volatilities_Resets!$G17)/50)*((Calculator!I28-Calculator!K$2)*10000)+Volatilities_Resets!$G17)),"Well, something broke...")))))))))))/10000</f>
        <v>2.0941000000000001E-2</v>
      </c>
      <c r="L28" s="47">
        <f t="shared" ca="1" si="17"/>
        <v>35642.797735810294</v>
      </c>
      <c r="M28" s="63">
        <f t="shared" ca="1" si="18"/>
        <v>1.4285376306356992E-3</v>
      </c>
      <c r="N28" s="63">
        <f t="shared" ca="1" si="44"/>
        <v>721324.88782231486</v>
      </c>
      <c r="Q28" s="63">
        <f t="shared" ca="1" si="19"/>
        <v>67.114339879112421</v>
      </c>
      <c r="R28" s="63">
        <f ca="1">SUM($Q$15:Q28)</f>
        <v>485.60050367594016</v>
      </c>
      <c r="T28" s="52">
        <f ca="1">EXP(-AVERAGE(J$15:J28)*G28)</f>
        <v>0.95004899706360679</v>
      </c>
      <c r="U28" s="57"/>
      <c r="V28" s="52">
        <f t="shared" ca="1" si="20"/>
        <v>14</v>
      </c>
      <c r="W28" s="71">
        <f t="shared" ca="1" si="21"/>
        <v>45405</v>
      </c>
      <c r="X28" s="71">
        <f t="shared" ca="1" si="3"/>
        <v>45435</v>
      </c>
      <c r="Y28" s="72">
        <f t="shared" ca="1" si="4"/>
        <v>30</v>
      </c>
      <c r="Z28" s="73">
        <f ca="1">SUM(Y$15:Y28)/360</f>
        <v>1.1861111111111111</v>
      </c>
      <c r="AA28" s="74">
        <f t="shared" si="22"/>
        <v>25000000</v>
      </c>
      <c r="AB28" s="59">
        <f t="shared" si="23"/>
        <v>0.03</v>
      </c>
      <c r="AC28" s="57">
        <f>Volatilities_Resets!$E17*0.01</f>
        <v>3.4337300000000001E-2</v>
      </c>
      <c r="AD28" s="61">
        <f>IF(AB28=AE$11,Volatilities_Resets!$AA17,IF(AB28&gt;=AD$11,IF(AB28&lt;AE$11,(((Volatilities_Resets!$AA17-Volatilities_Resets!$Y17)/50)*((Calculator!AB28-Calculator!AD$11)*10000)+Volatilities_Resets!$Y17)),IF(AB28&gt;=AD$10,IF(AB28&lt;AE$10,(((Volatilities_Resets!$Y17-Volatilities_Resets!$W17)/50)*((Calculator!AB28-Calculator!AD$10)*10000)+Volatilities_Resets!$W17)),IF(AB28&gt;=AD$9,IF(AB28&lt;AE$9,(((Volatilities_Resets!$W17-Volatilities_Resets!$U17)/50)*((Calculator!AB28-Calculator!AD$9)*10000)+Volatilities_Resets!$U17)),IF(AB28&gt;=AD$8,IF(AB28&lt;AE$8,(((Volatilities_Resets!$U17-Volatilities_Resets!$S17)/50)*((Calculator!AB28-Calculator!AD$8)*10000)+Volatilities_Resets!$S17)),IF(AB28&gt;=AD$7,IF(AB28&lt;AE$7,(((Volatilities_Resets!$S17-Volatilities_Resets!$Q17)/50)*((Calculator!AB28-Calculator!AD$7)*10000)+Volatilities_Resets!$Q17)),IF(AB28&gt;=AD$6,IF(AB28&lt;AE$6,(((Volatilities_Resets!$Q17-Volatilities_Resets!$O17)/50)*((Calculator!AB28-Calculator!AD$6)*10000)+Volatilities_Resets!$O17)),IF(AB28&gt;=AD$5,IF(AB28&lt;AE$5,(((Volatilities_Resets!$O17-Volatilities_Resets!$M17)/50)*((Calculator!AB28-Calculator!AD$5)*10000)+Volatilities_Resets!$M17)),IF(AB28&gt;=AD$4,IF(AB28&lt;AE$4,(((Volatilities_Resets!$M17-Volatilities_Resets!$K17)/50)*((Calculator!AB28-Calculator!AD$4)*10000)+Volatilities_Resets!$K17)),IF(AB28&gt;=AD$3,IF(AB28&lt;AE$3,(((Volatilities_Resets!$K17-Volatilities_Resets!$I17)/50)*((Calculator!AB28-Calculator!AD$3)*10000)+Volatilities_Resets!$I17)),IF(AB28&gt;=AD$2,IF(AB28&lt;AE$2,(((Volatilities_Resets!$I17-Volatilities_Resets!$G17)/50)*((Calculator!AB28-Calculator!AD$2)*10000)+Volatilities_Resets!$G17)),"Well, something broke...")))))))))))/10000</f>
        <v>2.1162E-2</v>
      </c>
      <c r="AE28" s="63">
        <f t="shared" ca="1" si="24"/>
        <v>22812.094774645328</v>
      </c>
      <c r="AF28" s="63">
        <f t="shared" ca="1" si="25"/>
        <v>9.1586353014507307E-4</v>
      </c>
      <c r="AG28" s="63">
        <f t="shared" ca="1" si="45"/>
        <v>477853.51437200827</v>
      </c>
      <c r="AJ28" s="63">
        <f t="shared" ca="1" si="26"/>
        <v>80.272944964787072</v>
      </c>
      <c r="AK28" s="63">
        <f ca="1">SUM($AJ$15:AJ28)</f>
        <v>654.71750149700767</v>
      </c>
      <c r="AM28" s="52">
        <f ca="1">EXP(-AVERAGE(AC$15:AC28)*Z28)</f>
        <v>0.95004899706360679</v>
      </c>
      <c r="AO28" s="52">
        <f t="shared" ca="1" si="27"/>
        <v>14</v>
      </c>
      <c r="AP28" s="71">
        <f t="shared" ca="1" si="28"/>
        <v>45405</v>
      </c>
      <c r="AQ28" s="71">
        <f t="shared" ca="1" si="5"/>
        <v>45435</v>
      </c>
      <c r="AR28" s="72">
        <f t="shared" ca="1" si="6"/>
        <v>30</v>
      </c>
      <c r="AS28" s="73">
        <f ca="1">SUM(AR$15:AR28)/360</f>
        <v>1.1861111111111111</v>
      </c>
      <c r="AT28" s="74">
        <f t="shared" si="7"/>
        <v>25000000</v>
      </c>
      <c r="AU28" s="59">
        <f t="shared" si="29"/>
        <v>0.04</v>
      </c>
      <c r="AV28" s="57">
        <f>Volatilities_Resets!$E17*0.01</f>
        <v>3.4337300000000001E-2</v>
      </c>
      <c r="AW28" s="61">
        <f>IF(AU28=AX$11,Volatilities_Resets!$AA17,IF(AU28&gt;=AW$11,IF(AU28&lt;AX$11,(((Volatilities_Resets!$AA17-Volatilities_Resets!$Y17)/50)*((Calculator!AU28-Calculator!AW$11)*10000)+Volatilities_Resets!$Y17)),IF(AU28&gt;=AW$10,IF(AU28&lt;AX$10,(((Volatilities_Resets!$Y17-Volatilities_Resets!$W17)/50)*((Calculator!AU28-Calculator!AW$10)*10000)+Volatilities_Resets!$W17)),IF(AU28&gt;=AW$9,IF(AU28&lt;AX$9,(((Volatilities_Resets!$W17-Volatilities_Resets!$U17)/50)*((Calculator!AU28-Calculator!AW$9)*10000)+Volatilities_Resets!$U17)),IF(AU28&gt;=AW$8,IF(AU28&lt;AX$8,(((Volatilities_Resets!$U17-Volatilities_Resets!$S17)/50)*((Calculator!AU28-Calculator!AW$8)*10000)+Volatilities_Resets!$S17)),IF(AU28&gt;=AW$7,IF(AU28&lt;AX$7,(((Volatilities_Resets!$S17-Volatilities_Resets!$Q17)/50)*((Calculator!AU28-Calculator!AW$7)*10000)+Volatilities_Resets!$Q17)),IF(AU28&gt;=AW$6,IF(AU28&lt;AX$6,(((Volatilities_Resets!$Q17-Volatilities_Resets!$O17)/50)*((Calculator!AU28-Calculator!AW$6)*10000)+Volatilities_Resets!$O17)),IF(AU28&gt;=AW$5,IF(AU28&lt;AX$5,(((Volatilities_Resets!$O17-Volatilities_Resets!$M17)/50)*((Calculator!AU28-Calculator!AW$5)*10000)+Volatilities_Resets!$M17)),IF(AU28&gt;=AW$4,IF(AU28&lt;AX$4,(((Volatilities_Resets!$M17-Volatilities_Resets!$K17)/50)*((Calculator!AU28-Calculator!AW$4)*10000)+Volatilities_Resets!$K17)),IF(AU28&gt;=AW$3,IF(AU28&lt;AX$3,(((Volatilities_Resets!$K17-Volatilities_Resets!$I17)/50)*((Calculator!AU28-Calculator!AW$3)*10000)+Volatilities_Resets!$I17)),IF(AU28&gt;=AW$2,IF(AU28&lt;AX$2,(((Volatilities_Resets!$I17-Volatilities_Resets!$G17)/50)*((Calculator!AU28-Calculator!AW$2)*10000)+Volatilities_Resets!$G17)),"Well, something broke...")))))))))))/10000</f>
        <v>2.0872999999999999E-2</v>
      </c>
      <c r="AX28" s="63">
        <f t="shared" ca="1" si="30"/>
        <v>12899.959491020192</v>
      </c>
      <c r="AY28" s="63">
        <f t="shared" ca="1" si="31"/>
        <v>5.1933362244180087E-4</v>
      </c>
      <c r="AZ28" s="63">
        <f t="shared" ca="1" si="46"/>
        <v>261047.0724154099</v>
      </c>
      <c r="BC28" s="63">
        <f t="shared" ca="1" si="8"/>
        <v>79.21610195118042</v>
      </c>
      <c r="BD28" s="63">
        <f ca="1">SUM($BC$15:BC28)</f>
        <v>786.14465804459041</v>
      </c>
      <c r="BF28" s="52">
        <f ca="1">EXP(-AVERAGE(AV$15:AV28)*AS28)</f>
        <v>0.95004899706360679</v>
      </c>
      <c r="BH28" s="52">
        <f t="shared" ca="1" si="32"/>
        <v>14</v>
      </c>
      <c r="BI28" s="71">
        <f t="shared" ca="1" si="33"/>
        <v>45405</v>
      </c>
      <c r="BJ28" s="71">
        <f t="shared" ca="1" si="9"/>
        <v>45435</v>
      </c>
      <c r="BK28" s="72">
        <f t="shared" ca="1" si="10"/>
        <v>30</v>
      </c>
      <c r="BL28" s="73">
        <f ca="1">SUM(BK$15:BK28)/360</f>
        <v>1.1861111111111111</v>
      </c>
      <c r="BM28" s="74">
        <f t="shared" si="11"/>
        <v>25000000</v>
      </c>
      <c r="BN28" s="59">
        <f t="shared" si="34"/>
        <v>0.05</v>
      </c>
      <c r="BO28" s="57">
        <f>Volatilities_Resets!$E17*0.01</f>
        <v>3.4337300000000001E-2</v>
      </c>
      <c r="BP28" s="61">
        <f>IF(BN28=BQ$11,Volatilities_Resets!$AA17,IF(BN28&gt;=BP$11,IF(BN28&lt;BQ$11,(((Volatilities_Resets!$AA17-Volatilities_Resets!$Y17)/50)*((Calculator!BN28-Calculator!BP$11)*10000)+Volatilities_Resets!$Y17)),IF(BN28&gt;=BP$10,IF(BN28&lt;BQ$10,(((Volatilities_Resets!$Y17-Volatilities_Resets!$W17)/50)*((Calculator!BN28-Calculator!BP$10)*10000)+Volatilities_Resets!$W17)),IF(BN28&gt;=BP$9,IF(BN28&lt;BQ$9,(((Volatilities_Resets!$W17-Volatilities_Resets!$U17)/50)*((Calculator!BN28-Calculator!BP$9)*10000)+Volatilities_Resets!$U17)),IF(BN28&gt;=BP$8,IF(BN28&lt;BQ$8,(((Volatilities_Resets!$U17-Volatilities_Resets!$S17)/50)*((Calculator!BN28-Calculator!BP$8)*10000)+Volatilities_Resets!$S17)),IF(BN28&gt;=BP$7,IF(BN28&lt;BQ$7,(((Volatilities_Resets!$S17-Volatilities_Resets!$Q17)/50)*((Calculator!BN28-Calculator!BP$7)*10000)+Volatilities_Resets!$Q17)),IF(BN28&gt;=BP$6,IF(BN28&lt;BQ$6,(((Volatilities_Resets!$Q17-Volatilities_Resets!$O17)/50)*((Calculator!BN28-Calculator!BP$6)*10000)+Volatilities_Resets!$O17)),IF(BN28&gt;=BP$5,IF(BN28&lt;BQ$5,(((Volatilities_Resets!$O17-Volatilities_Resets!$M17)/50)*((Calculator!BN28-Calculator!BP$5)*10000)+Volatilities_Resets!$M17)),IF(BN28&gt;=BP$4,IF(BN28&lt;BQ$4,(((Volatilities_Resets!$M17-Volatilities_Resets!$K17)/50)*((Calculator!BN28-Calculator!BP$4)*10000)+Volatilities_Resets!$K17)),IF(BN28&gt;=BP$3,IF(BN28&lt;BQ$3,(((Volatilities_Resets!$K17-Volatilities_Resets!$I17)/50)*((Calculator!BN28-Calculator!BP$3)*10000)+Volatilities_Resets!$I17)),IF(BN28&gt;=BP$2,IF(BN28&lt;BQ$2,(((Volatilities_Resets!$I17-Volatilities_Resets!$G17)/50)*((Calculator!BN28-Calculator!BP$2)*10000)+Volatilities_Resets!$G17)),"Well, something broke...")))))))))))/10000</f>
        <v>2.0643999999999999E-2</v>
      </c>
      <c r="BQ28" s="63">
        <f t="shared" ca="1" si="35"/>
        <v>6394.3789838870798</v>
      </c>
      <c r="BR28" s="63">
        <f t="shared" ca="1" si="36"/>
        <v>2.5847701209098171E-4</v>
      </c>
      <c r="BS28" s="63">
        <f t="shared" ca="1" si="47"/>
        <v>100180.9755751325</v>
      </c>
      <c r="BV28" s="63">
        <f t="shared" ca="1" si="37"/>
        <v>64.172312039347958</v>
      </c>
      <c r="BW28" s="63">
        <f ca="1">SUM($BV$15:BV28)</f>
        <v>757.48768041110441</v>
      </c>
      <c r="BY28" s="52">
        <f ca="1">EXP(-AVERAGE(BO$15:BO28)*BL28)</f>
        <v>0.95004899706360679</v>
      </c>
      <c r="CA28" s="52">
        <f t="shared" ca="1" si="38"/>
        <v>14</v>
      </c>
      <c r="CB28" s="71">
        <f t="shared" ca="1" si="39"/>
        <v>45405</v>
      </c>
      <c r="CC28" s="71">
        <f t="shared" ca="1" si="12"/>
        <v>45435</v>
      </c>
      <c r="CD28" s="72">
        <f t="shared" ca="1" si="13"/>
        <v>30</v>
      </c>
      <c r="CE28" s="73">
        <f ca="1">SUM(CD$15:CD28)/360</f>
        <v>1.1861111111111111</v>
      </c>
      <c r="CF28" s="74">
        <f t="shared" si="14"/>
        <v>25000000</v>
      </c>
      <c r="CG28" s="59">
        <f t="shared" si="40"/>
        <v>0.06</v>
      </c>
      <c r="CH28" s="57">
        <f>Volatilities_Resets!$E17*0.01</f>
        <v>3.4337300000000001E-2</v>
      </c>
      <c r="CI28" s="61">
        <f>IF(CG28=CJ$11,Volatilities_Resets!$AA17,IF(CG28&gt;=CI$11,IF(CG28&lt;CJ$11,(((Volatilities_Resets!$AA17-Volatilities_Resets!$Y17)/50)*((Calculator!CG28-Calculator!CI$11)*10000)+Volatilities_Resets!$Y17)),IF(CG28&gt;=CI$10,IF(CG28&lt;CJ$10,(((Volatilities_Resets!$Y17-Volatilities_Resets!$W17)/50)*((Calculator!CG28-Calculator!CI$10)*10000)+Volatilities_Resets!$W17)),IF(CG28&gt;=CI$9,IF(CG28&lt;CJ$9,(((Volatilities_Resets!$W17-Volatilities_Resets!$U17)/50)*((Calculator!CG28-Calculator!CI$9)*10000)+Volatilities_Resets!$U17)),IF(CG28&gt;=CI$8,IF(CG28&lt;CJ$8,(((Volatilities_Resets!$U17-Volatilities_Resets!$S17)/50)*((Calculator!CG28-Calculator!CI$8)*10000)+Volatilities_Resets!$S17)),IF(CG28&gt;=CI$7,IF(CG28&lt;CJ$7,(((Volatilities_Resets!$S17-Volatilities_Resets!$Q17)/50)*((Calculator!CG28-Calculator!CI$7)*10000)+Volatilities_Resets!$Q17)),IF(CG28&gt;=CI$6,IF(CG28&lt;CJ$6,(((Volatilities_Resets!$Q17-Volatilities_Resets!$O17)/50)*((Calculator!CG28-Calculator!CI$6)*10000)+Volatilities_Resets!$O17)),IF(CG28&gt;=CI$5,IF(CG28&lt;CJ$5,(((Volatilities_Resets!$O17-Volatilities_Resets!$M17)/50)*((Calculator!CG28-Calculator!CI$5)*10000)+Volatilities_Resets!$M17)),IF(CG28&gt;=CI$4,IF(CG28&lt;CJ$4,(((Volatilities_Resets!$M17-Volatilities_Resets!$K17)/50)*((Calculator!CG28-Calculator!CI$4)*10000)+Volatilities_Resets!$K17)),IF(CG28&gt;=CI$3,IF(CG28&lt;CJ$3,(((Volatilities_Resets!$K17-Volatilities_Resets!$I17)/50)*((Calculator!CG28-Calculator!CI$3)*10000)+Volatilities_Resets!$I17)),IF(CG28&gt;=CI$2,IF(CG28&lt;CJ$2,(((Volatilities_Resets!$I17-Volatilities_Resets!$G17)/50)*((Calculator!CG28-Calculator!CI$2)*10000)+Volatilities_Resets!$G17)),"Well, something broke...")))))))))))/10000</f>
        <v>2.1624000000000001E-2</v>
      </c>
      <c r="CJ28" s="63">
        <f t="shared" ca="1" si="41"/>
        <v>3264.2638667144042</v>
      </c>
      <c r="CK28" s="63">
        <f t="shared" ca="1" si="42"/>
        <v>1.3247548139128229E-4</v>
      </c>
      <c r="CL28" s="63">
        <f t="shared" ca="1" si="48"/>
        <v>27611.301739540901</v>
      </c>
      <c r="CO28" s="63">
        <f t="shared" ca="1" si="43"/>
        <v>45.244343059665219</v>
      </c>
      <c r="CP28" s="63">
        <f ca="1">SUM($CO$15:CO28)</f>
        <v>442.92910800992934</v>
      </c>
      <c r="CR28" s="52">
        <f ca="1">EXP(-AVERAGE(CH$15:CH28)*CE28)</f>
        <v>0.95004899706360679</v>
      </c>
      <c r="CT28"/>
      <c r="CU28"/>
      <c r="CV28"/>
      <c r="CW28"/>
      <c r="CX28"/>
      <c r="CY28"/>
      <c r="CZ28"/>
      <c r="DA28"/>
      <c r="DB28"/>
      <c r="DC28"/>
      <c r="DD28"/>
      <c r="DE28"/>
      <c r="DF28"/>
      <c r="DG28"/>
      <c r="DH28"/>
      <c r="DI28"/>
      <c r="DJ28"/>
      <c r="DK28"/>
      <c r="DL28"/>
    </row>
    <row r="29" spans="2:116" ht="15.75" customHeight="1">
      <c r="B29" s="52">
        <v>2</v>
      </c>
      <c r="C29" s="52">
        <f t="shared" ca="1" si="15"/>
        <v>15</v>
      </c>
      <c r="D29" s="71">
        <f t="shared" ca="1" si="16"/>
        <v>45435</v>
      </c>
      <c r="E29" s="71">
        <f t="shared" ca="1" si="0"/>
        <v>45466</v>
      </c>
      <c r="F29" s="72">
        <f t="shared" ca="1" si="1"/>
        <v>31</v>
      </c>
      <c r="G29" s="73">
        <f ca="1">SUM($F$15:F29)/360</f>
        <v>1.2722222222222221</v>
      </c>
      <c r="H29" s="74">
        <f t="shared" si="2"/>
        <v>25000000</v>
      </c>
      <c r="I29" s="59">
        <f>IF('Cap Pricer'!$E$22=DataValidation!$C$2,'Cap Pricer'!$E$23,IF('Cap Pricer'!$E$22=DataValidation!$C$3,VLOOKUP($B29,'Cap Pricer'!$C$25:$E$31,3),""))</f>
        <v>0.02</v>
      </c>
      <c r="J29" s="57">
        <f>Volatilities_Resets!$E18*0.01</f>
        <v>3.4333999999999996E-2</v>
      </c>
      <c r="K29" s="61">
        <f>IF(I29=L$11,Volatilities_Resets!$AA18,IF(I29&gt;=K$11,IF(I29&lt;L$11,(((Volatilities_Resets!$AA18-Volatilities_Resets!$Y18)/50)*((Calculator!I29-Calculator!K$11)*10000)+Volatilities_Resets!$Y18)),IF(I29&gt;=K$10,IF(I29&lt;L$10,(((Volatilities_Resets!$Y18-Volatilities_Resets!$W18)/50)*((Calculator!I29-Calculator!K$10)*10000)+Volatilities_Resets!$W18)),IF(I29&gt;=K$9,IF(I29&lt;L$9,(((Volatilities_Resets!$W18-Volatilities_Resets!$U18)/50)*((Calculator!I29-Calculator!K$9)*10000)+Volatilities_Resets!$U18)),IF(I29&gt;=K$8,IF(I29&lt;L$8,(((Volatilities_Resets!$U18-Volatilities_Resets!$S18)/50)*((Calculator!I29-Calculator!K$8)*10000)+Volatilities_Resets!$S18)),IF(I29&gt;=K$7,IF(I29&lt;L$7,(((Volatilities_Resets!$S18-Volatilities_Resets!$Q18)/50)*((Calculator!I29-Calculator!K$7)*10000)+Volatilities_Resets!$Q18)),IF(I29&gt;=K$6,IF(I29&lt;L$6,(((Volatilities_Resets!$Q18-Volatilities_Resets!$O18)/50)*((Calculator!I29-Calculator!K$6)*10000)+Volatilities_Resets!$O18)),IF(I29&gt;=K$5,IF(I29&lt;L$5,(((Volatilities_Resets!$O18-Volatilities_Resets!$M18)/50)*((Calculator!I29-Calculator!K$5)*10000)+Volatilities_Resets!$M18)),IF(I29&gt;=K$4,IF(I29&lt;L$4,(((Volatilities_Resets!$M18-Volatilities_Resets!$K18)/50)*((Calculator!I29-Calculator!K$4)*10000)+Volatilities_Resets!$K18)),IF(I29&gt;=K$3,IF(I29&lt;L$3,(((Volatilities_Resets!$K18-Volatilities_Resets!$I18)/50)*((Calculator!I29-Calculator!K$3)*10000)+Volatilities_Resets!$I18)),IF(I29&gt;=K$2,IF(I29&lt;L$2,(((Volatilities_Resets!$I18-Volatilities_Resets!$G18)/50)*((Calculator!I29-Calculator!K$2)*10000)+Volatilities_Resets!$G18)),"Well, something broke...")))))))))))/10000</f>
        <v>2.0874E-2</v>
      </c>
      <c r="L29" s="47">
        <f t="shared" ca="1" si="17"/>
        <v>37212.489292441358</v>
      </c>
      <c r="M29" s="63">
        <f t="shared" ca="1" si="18"/>
        <v>1.4915517266268483E-3</v>
      </c>
      <c r="N29" s="63">
        <f t="shared" ca="1" si="44"/>
        <v>758537.37711475627</v>
      </c>
      <c r="Q29" s="63">
        <f t="shared" ca="1" si="19"/>
        <v>72.277577276810305</v>
      </c>
      <c r="R29" s="63">
        <f ca="1">SUM($Q$15:Q29)</f>
        <v>557.87808095275045</v>
      </c>
      <c r="T29" s="52">
        <f ca="1">EXP(-AVERAGE(J$15:J29)*G29)</f>
        <v>0.94723340005414614</v>
      </c>
      <c r="U29" s="57"/>
      <c r="V29" s="52">
        <f t="shared" ca="1" si="20"/>
        <v>15</v>
      </c>
      <c r="W29" s="71">
        <f t="shared" ca="1" si="21"/>
        <v>45435</v>
      </c>
      <c r="X29" s="71">
        <f t="shared" ca="1" si="3"/>
        <v>45466</v>
      </c>
      <c r="Y29" s="72">
        <f t="shared" ca="1" si="4"/>
        <v>31</v>
      </c>
      <c r="Z29" s="73">
        <f ca="1">SUM(Y$15:Y29)/360</f>
        <v>1.2722222222222221</v>
      </c>
      <c r="AA29" s="74">
        <f t="shared" si="22"/>
        <v>25000000</v>
      </c>
      <c r="AB29" s="59">
        <f t="shared" si="23"/>
        <v>0.03</v>
      </c>
      <c r="AC29" s="57">
        <f>Volatilities_Resets!$E18*0.01</f>
        <v>3.4333999999999996E-2</v>
      </c>
      <c r="AD29" s="61">
        <f>IF(AB29=AE$11,Volatilities_Resets!$AA18,IF(AB29&gt;=AD$11,IF(AB29&lt;AE$11,(((Volatilities_Resets!$AA18-Volatilities_Resets!$Y18)/50)*((Calculator!AB29-Calculator!AD$11)*10000)+Volatilities_Resets!$Y18)),IF(AB29&gt;=AD$10,IF(AB29&lt;AE$10,(((Volatilities_Resets!$Y18-Volatilities_Resets!$W18)/50)*((Calculator!AB29-Calculator!AD$10)*10000)+Volatilities_Resets!$W18)),IF(AB29&gt;=AD$9,IF(AB29&lt;AE$9,(((Volatilities_Resets!$W18-Volatilities_Resets!$U18)/50)*((Calculator!AB29-Calculator!AD$9)*10000)+Volatilities_Resets!$U18)),IF(AB29&gt;=AD$8,IF(AB29&lt;AE$8,(((Volatilities_Resets!$U18-Volatilities_Resets!$S18)/50)*((Calculator!AB29-Calculator!AD$8)*10000)+Volatilities_Resets!$S18)),IF(AB29&gt;=AD$7,IF(AB29&lt;AE$7,(((Volatilities_Resets!$S18-Volatilities_Resets!$Q18)/50)*((Calculator!AB29-Calculator!AD$7)*10000)+Volatilities_Resets!$Q18)),IF(AB29&gt;=AD$6,IF(AB29&lt;AE$6,(((Volatilities_Resets!$Q18-Volatilities_Resets!$O18)/50)*((Calculator!AB29-Calculator!AD$6)*10000)+Volatilities_Resets!$O18)),IF(AB29&gt;=AD$5,IF(AB29&lt;AE$5,(((Volatilities_Resets!$O18-Volatilities_Resets!$M18)/50)*((Calculator!AB29-Calculator!AD$5)*10000)+Volatilities_Resets!$M18)),IF(AB29&gt;=AD$4,IF(AB29&lt;AE$4,(((Volatilities_Resets!$M18-Volatilities_Resets!$K18)/50)*((Calculator!AB29-Calculator!AD$4)*10000)+Volatilities_Resets!$K18)),IF(AB29&gt;=AD$3,IF(AB29&lt;AE$3,(((Volatilities_Resets!$K18-Volatilities_Resets!$I18)/50)*((Calculator!AB29-Calculator!AD$3)*10000)+Volatilities_Resets!$I18)),IF(AB29&gt;=AD$2,IF(AB29&lt;AE$2,(((Volatilities_Resets!$I18-Volatilities_Resets!$G18)/50)*((Calculator!AB29-Calculator!AD$2)*10000)+Volatilities_Resets!$G18)),"Well, something broke...")))))))))))/10000</f>
        <v>2.1059000000000001E-2</v>
      </c>
      <c r="AE29" s="63">
        <f t="shared" ca="1" si="24"/>
        <v>24063.165741003293</v>
      </c>
      <c r="AF29" s="63">
        <f t="shared" ca="1" si="25"/>
        <v>9.6613667501376118E-4</v>
      </c>
      <c r="AG29" s="63">
        <f t="shared" ca="1" si="45"/>
        <v>501916.68011301156</v>
      </c>
      <c r="AJ29" s="63">
        <f t="shared" ca="1" si="26"/>
        <v>85.488888840319575</v>
      </c>
      <c r="AK29" s="63">
        <f ca="1">SUM($AJ$15:AJ29)</f>
        <v>740.20639033732721</v>
      </c>
      <c r="AM29" s="52">
        <f ca="1">EXP(-AVERAGE(AC$15:AC29)*Z29)</f>
        <v>0.94723340005414614</v>
      </c>
      <c r="AO29" s="52">
        <f t="shared" ca="1" si="27"/>
        <v>15</v>
      </c>
      <c r="AP29" s="71">
        <f t="shared" ca="1" si="28"/>
        <v>45435</v>
      </c>
      <c r="AQ29" s="71">
        <f t="shared" ca="1" si="5"/>
        <v>45466</v>
      </c>
      <c r="AR29" s="72">
        <f t="shared" ca="1" si="6"/>
        <v>31</v>
      </c>
      <c r="AS29" s="73">
        <f ca="1">SUM(AR$15:AR29)/360</f>
        <v>1.2722222222222221</v>
      </c>
      <c r="AT29" s="74">
        <f t="shared" si="7"/>
        <v>25000000</v>
      </c>
      <c r="AU29" s="59">
        <f t="shared" si="29"/>
        <v>0.04</v>
      </c>
      <c r="AV29" s="57">
        <f>Volatilities_Resets!$E18*0.01</f>
        <v>3.4333999999999996E-2</v>
      </c>
      <c r="AW29" s="61">
        <f>IF(AU29=AX$11,Volatilities_Resets!$AA18,IF(AU29&gt;=AW$11,IF(AU29&lt;AX$11,(((Volatilities_Resets!$AA18-Volatilities_Resets!$Y18)/50)*((Calculator!AU29-Calculator!AW$11)*10000)+Volatilities_Resets!$Y18)),IF(AU29&gt;=AW$10,IF(AU29&lt;AX$10,(((Volatilities_Resets!$Y18-Volatilities_Resets!$W18)/50)*((Calculator!AU29-Calculator!AW$10)*10000)+Volatilities_Resets!$W18)),IF(AU29&gt;=AW$9,IF(AU29&lt;AX$9,(((Volatilities_Resets!$W18-Volatilities_Resets!$U18)/50)*((Calculator!AU29-Calculator!AW$9)*10000)+Volatilities_Resets!$U18)),IF(AU29&gt;=AW$8,IF(AU29&lt;AX$8,(((Volatilities_Resets!$U18-Volatilities_Resets!$S18)/50)*((Calculator!AU29-Calculator!AW$8)*10000)+Volatilities_Resets!$S18)),IF(AU29&gt;=AW$7,IF(AU29&lt;AX$7,(((Volatilities_Resets!$S18-Volatilities_Resets!$Q18)/50)*((Calculator!AU29-Calculator!AW$7)*10000)+Volatilities_Resets!$Q18)),IF(AU29&gt;=AW$6,IF(AU29&lt;AX$6,(((Volatilities_Resets!$Q18-Volatilities_Resets!$O18)/50)*((Calculator!AU29-Calculator!AW$6)*10000)+Volatilities_Resets!$O18)),IF(AU29&gt;=AW$5,IF(AU29&lt;AX$5,(((Volatilities_Resets!$O18-Volatilities_Resets!$M18)/50)*((Calculator!AU29-Calculator!AW$5)*10000)+Volatilities_Resets!$M18)),IF(AU29&gt;=AW$4,IF(AU29&lt;AX$4,(((Volatilities_Resets!$M18-Volatilities_Resets!$K18)/50)*((Calculator!AU29-Calculator!AW$4)*10000)+Volatilities_Resets!$K18)),IF(AU29&gt;=AW$3,IF(AU29&lt;AX$3,(((Volatilities_Resets!$K18-Volatilities_Resets!$I18)/50)*((Calculator!AU29-Calculator!AW$3)*10000)+Volatilities_Resets!$I18)),IF(AU29&gt;=AW$2,IF(AU29&lt;AX$2,(((Volatilities_Resets!$I18-Volatilities_Resets!$G18)/50)*((Calculator!AU29-Calculator!AW$2)*10000)+Volatilities_Resets!$G18)),"Well, something broke...")))))))))))/10000</f>
        <v>2.0750000000000001E-2</v>
      </c>
      <c r="AX29" s="63">
        <f t="shared" ca="1" si="30"/>
        <v>13818.180914321267</v>
      </c>
      <c r="AY29" s="63">
        <f t="shared" ca="1" si="31"/>
        <v>5.5629209519550394E-4</v>
      </c>
      <c r="AZ29" s="63">
        <f t="shared" ca="1" si="46"/>
        <v>274865.25332973117</v>
      </c>
      <c r="BC29" s="63">
        <f t="shared" ca="1" si="8"/>
        <v>84.418828846205443</v>
      </c>
      <c r="BD29" s="63">
        <f ca="1">SUM($BC$15:BC29)</f>
        <v>870.56348689079584</v>
      </c>
      <c r="BF29" s="52">
        <f ca="1">EXP(-AVERAGE(AV$15:AV29)*AS29)</f>
        <v>0.94723340005414614</v>
      </c>
      <c r="BH29" s="52">
        <f t="shared" ca="1" si="32"/>
        <v>15</v>
      </c>
      <c r="BI29" s="71">
        <f t="shared" ca="1" si="33"/>
        <v>45435</v>
      </c>
      <c r="BJ29" s="71">
        <f t="shared" ca="1" si="9"/>
        <v>45466</v>
      </c>
      <c r="BK29" s="72">
        <f t="shared" ca="1" si="10"/>
        <v>31</v>
      </c>
      <c r="BL29" s="73">
        <f ca="1">SUM(BK$15:BK29)/360</f>
        <v>1.2722222222222221</v>
      </c>
      <c r="BM29" s="74">
        <f t="shared" si="11"/>
        <v>25000000</v>
      </c>
      <c r="BN29" s="59">
        <f t="shared" si="34"/>
        <v>0.05</v>
      </c>
      <c r="BO29" s="57">
        <f>Volatilities_Resets!$E18*0.01</f>
        <v>3.4333999999999996E-2</v>
      </c>
      <c r="BP29" s="61">
        <f>IF(BN29=BQ$11,Volatilities_Resets!$AA18,IF(BN29&gt;=BP$11,IF(BN29&lt;BQ$11,(((Volatilities_Resets!$AA18-Volatilities_Resets!$Y18)/50)*((Calculator!BN29-Calculator!BP$11)*10000)+Volatilities_Resets!$Y18)),IF(BN29&gt;=BP$10,IF(BN29&lt;BQ$10,(((Volatilities_Resets!$Y18-Volatilities_Resets!$W18)/50)*((Calculator!BN29-Calculator!BP$10)*10000)+Volatilities_Resets!$W18)),IF(BN29&gt;=BP$9,IF(BN29&lt;BQ$9,(((Volatilities_Resets!$W18-Volatilities_Resets!$U18)/50)*((Calculator!BN29-Calculator!BP$9)*10000)+Volatilities_Resets!$U18)),IF(BN29&gt;=BP$8,IF(BN29&lt;BQ$8,(((Volatilities_Resets!$U18-Volatilities_Resets!$S18)/50)*((Calculator!BN29-Calculator!BP$8)*10000)+Volatilities_Resets!$S18)),IF(BN29&gt;=BP$7,IF(BN29&lt;BQ$7,(((Volatilities_Resets!$S18-Volatilities_Resets!$Q18)/50)*((Calculator!BN29-Calculator!BP$7)*10000)+Volatilities_Resets!$Q18)),IF(BN29&gt;=BP$6,IF(BN29&lt;BQ$6,(((Volatilities_Resets!$Q18-Volatilities_Resets!$O18)/50)*((Calculator!BN29-Calculator!BP$6)*10000)+Volatilities_Resets!$O18)),IF(BN29&gt;=BP$5,IF(BN29&lt;BQ$5,(((Volatilities_Resets!$O18-Volatilities_Resets!$M18)/50)*((Calculator!BN29-Calculator!BP$5)*10000)+Volatilities_Resets!$M18)),IF(BN29&gt;=BP$4,IF(BN29&lt;BQ$4,(((Volatilities_Resets!$M18-Volatilities_Resets!$K18)/50)*((Calculator!BN29-Calculator!BP$4)*10000)+Volatilities_Resets!$K18)),IF(BN29&gt;=BP$3,IF(BN29&lt;BQ$3,(((Volatilities_Resets!$K18-Volatilities_Resets!$I18)/50)*((Calculator!BN29-Calculator!BP$3)*10000)+Volatilities_Resets!$I18)),IF(BN29&gt;=BP$2,IF(BN29&lt;BQ$2,(((Volatilities_Resets!$I18-Volatilities_Resets!$G18)/50)*((Calculator!BN29-Calculator!BP$2)*10000)+Volatilities_Resets!$G18)),"Well, something broke...")))))))))))/10000</f>
        <v>2.0515000000000002E-2</v>
      </c>
      <c r="BQ29" s="63">
        <f t="shared" ca="1" si="35"/>
        <v>7008.0569406692048</v>
      </c>
      <c r="BR29" s="63">
        <f t="shared" ca="1" si="36"/>
        <v>2.8324412980568762E-4</v>
      </c>
      <c r="BS29" s="63">
        <f t="shared" ca="1" si="47"/>
        <v>107189.03251580171</v>
      </c>
      <c r="BV29" s="63">
        <f t="shared" ca="1" si="37"/>
        <v>69.191899347336246</v>
      </c>
      <c r="BW29" s="63">
        <f ca="1">SUM($BV$15:BV29)</f>
        <v>826.6795797584407</v>
      </c>
      <c r="BY29" s="52">
        <f ca="1">EXP(-AVERAGE(BO$15:BO29)*BL29)</f>
        <v>0.94723340005414614</v>
      </c>
      <c r="CA29" s="52">
        <f t="shared" ca="1" si="38"/>
        <v>15</v>
      </c>
      <c r="CB29" s="71">
        <f t="shared" ca="1" si="39"/>
        <v>45435</v>
      </c>
      <c r="CC29" s="71">
        <f t="shared" ca="1" si="12"/>
        <v>45466</v>
      </c>
      <c r="CD29" s="72">
        <f t="shared" ca="1" si="13"/>
        <v>31</v>
      </c>
      <c r="CE29" s="73">
        <f ca="1">SUM(CD$15:CD29)/360</f>
        <v>1.2722222222222221</v>
      </c>
      <c r="CF29" s="74">
        <f t="shared" si="14"/>
        <v>25000000</v>
      </c>
      <c r="CG29" s="59">
        <f t="shared" si="40"/>
        <v>0.06</v>
      </c>
      <c r="CH29" s="57">
        <f>Volatilities_Resets!$E18*0.01</f>
        <v>3.4333999999999996E-2</v>
      </c>
      <c r="CI29" s="61">
        <f>IF(CG29=CJ$11,Volatilities_Resets!$AA18,IF(CG29&gt;=CI$11,IF(CG29&lt;CJ$11,(((Volatilities_Resets!$AA18-Volatilities_Resets!$Y18)/50)*((Calculator!CG29-Calculator!CI$11)*10000)+Volatilities_Resets!$Y18)),IF(CG29&gt;=CI$10,IF(CG29&lt;CJ$10,(((Volatilities_Resets!$Y18-Volatilities_Resets!$W18)/50)*((Calculator!CG29-Calculator!CI$10)*10000)+Volatilities_Resets!$W18)),IF(CG29&gt;=CI$9,IF(CG29&lt;CJ$9,(((Volatilities_Resets!$W18-Volatilities_Resets!$U18)/50)*((Calculator!CG29-Calculator!CI$9)*10000)+Volatilities_Resets!$U18)),IF(CG29&gt;=CI$8,IF(CG29&lt;CJ$8,(((Volatilities_Resets!$U18-Volatilities_Resets!$S18)/50)*((Calculator!CG29-Calculator!CI$8)*10000)+Volatilities_Resets!$S18)),IF(CG29&gt;=CI$7,IF(CG29&lt;CJ$7,(((Volatilities_Resets!$S18-Volatilities_Resets!$Q18)/50)*((Calculator!CG29-Calculator!CI$7)*10000)+Volatilities_Resets!$Q18)),IF(CG29&gt;=CI$6,IF(CG29&lt;CJ$6,(((Volatilities_Resets!$Q18-Volatilities_Resets!$O18)/50)*((Calculator!CG29-Calculator!CI$6)*10000)+Volatilities_Resets!$O18)),IF(CG29&gt;=CI$5,IF(CG29&lt;CJ$5,(((Volatilities_Resets!$O18-Volatilities_Resets!$M18)/50)*((Calculator!CG29-Calculator!CI$5)*10000)+Volatilities_Resets!$M18)),IF(CG29&gt;=CI$4,IF(CG29&lt;CJ$4,(((Volatilities_Resets!$M18-Volatilities_Resets!$K18)/50)*((Calculator!CG29-Calculator!CI$4)*10000)+Volatilities_Resets!$K18)),IF(CG29&gt;=CI$3,IF(CG29&lt;CJ$3,(((Volatilities_Resets!$K18-Volatilities_Resets!$I18)/50)*((Calculator!CG29-Calculator!CI$3)*10000)+Volatilities_Resets!$I18)),IF(CG29&gt;=CI$2,IF(CG29&lt;CJ$2,(((Volatilities_Resets!$I18-Volatilities_Resets!$G18)/50)*((Calculator!CG29-Calculator!CI$2)*10000)+Volatilities_Resets!$G18)),"Well, something broke...")))))))))))/10000</f>
        <v>2.1493999999999999E-2</v>
      </c>
      <c r="CJ29" s="63">
        <f t="shared" ca="1" si="41"/>
        <v>3678.9219909081644</v>
      </c>
      <c r="CK29" s="63">
        <f t="shared" ca="1" si="42"/>
        <v>1.4925805263298577E-4</v>
      </c>
      <c r="CL29" s="63">
        <f t="shared" ca="1" si="48"/>
        <v>31290.223730449066</v>
      </c>
      <c r="CO29" s="63">
        <f t="shared" ca="1" si="43"/>
        <v>49.757531043186148</v>
      </c>
      <c r="CP29" s="63">
        <f ca="1">SUM($CO$15:CO29)</f>
        <v>492.68663905311547</v>
      </c>
      <c r="CR29" s="52">
        <f ca="1">EXP(-AVERAGE(CH$15:CH29)*CE29)</f>
        <v>0.94723340005414614</v>
      </c>
      <c r="CT29"/>
      <c r="CU29"/>
      <c r="CV29"/>
      <c r="CW29"/>
      <c r="CX29"/>
      <c r="CY29"/>
      <c r="CZ29"/>
      <c r="DA29"/>
      <c r="DB29"/>
      <c r="DC29"/>
      <c r="DD29"/>
      <c r="DE29"/>
      <c r="DF29"/>
      <c r="DG29"/>
      <c r="DH29"/>
      <c r="DI29"/>
      <c r="DJ29"/>
      <c r="DK29"/>
      <c r="DL29"/>
    </row>
    <row r="30" spans="2:116" ht="15.75" customHeight="1">
      <c r="B30" s="52">
        <v>2</v>
      </c>
      <c r="C30" s="52">
        <f t="shared" ca="1" si="15"/>
        <v>16</v>
      </c>
      <c r="D30" s="71">
        <f t="shared" ca="1" si="16"/>
        <v>45466</v>
      </c>
      <c r="E30" s="71">
        <f t="shared" ca="1" si="0"/>
        <v>45496</v>
      </c>
      <c r="F30" s="72">
        <f t="shared" ca="1" si="1"/>
        <v>30</v>
      </c>
      <c r="G30" s="73">
        <f ca="1">SUM($F$15:F30)/360</f>
        <v>1.3555555555555556</v>
      </c>
      <c r="H30" s="74">
        <f t="shared" si="2"/>
        <v>25000000</v>
      </c>
      <c r="I30" s="59">
        <f>IF('Cap Pricer'!$E$22=DataValidation!$C$2,'Cap Pricer'!$E$23,IF('Cap Pricer'!$E$22=DataValidation!$C$3,VLOOKUP($B30,'Cap Pricer'!$C$25:$E$31,3),""))</f>
        <v>0.02</v>
      </c>
      <c r="J30" s="57">
        <f>Volatilities_Resets!$E19*0.01</f>
        <v>3.4332399999999999E-2</v>
      </c>
      <c r="K30" s="61">
        <f>IF(I30=L$11,Volatilities_Resets!$AA19,IF(I30&gt;=K$11,IF(I30&lt;L$11,(((Volatilities_Resets!$AA19-Volatilities_Resets!$Y19)/50)*((Calculator!I30-Calculator!K$11)*10000)+Volatilities_Resets!$Y19)),IF(I30&gt;=K$10,IF(I30&lt;L$10,(((Volatilities_Resets!$Y19-Volatilities_Resets!$W19)/50)*((Calculator!I30-Calculator!K$10)*10000)+Volatilities_Resets!$W19)),IF(I30&gt;=K$9,IF(I30&lt;L$9,(((Volatilities_Resets!$W19-Volatilities_Resets!$U19)/50)*((Calculator!I30-Calculator!K$9)*10000)+Volatilities_Resets!$U19)),IF(I30&gt;=K$8,IF(I30&lt;L$8,(((Volatilities_Resets!$U19-Volatilities_Resets!$S19)/50)*((Calculator!I30-Calculator!K$8)*10000)+Volatilities_Resets!$S19)),IF(I30&gt;=K$7,IF(I30&lt;L$7,(((Volatilities_Resets!$S19-Volatilities_Resets!$Q19)/50)*((Calculator!I30-Calculator!K$7)*10000)+Volatilities_Resets!$Q19)),IF(I30&gt;=K$6,IF(I30&lt;L$6,(((Volatilities_Resets!$Q19-Volatilities_Resets!$O19)/50)*((Calculator!I30-Calculator!K$6)*10000)+Volatilities_Resets!$O19)),IF(I30&gt;=K$5,IF(I30&lt;L$5,(((Volatilities_Resets!$O19-Volatilities_Resets!$M19)/50)*((Calculator!I30-Calculator!K$5)*10000)+Volatilities_Resets!$M19)),IF(I30&gt;=K$4,IF(I30&lt;L$4,(((Volatilities_Resets!$M19-Volatilities_Resets!$K19)/50)*((Calculator!I30-Calculator!K$4)*10000)+Volatilities_Resets!$K19)),IF(I30&gt;=K$3,IF(I30&lt;L$3,(((Volatilities_Resets!$K19-Volatilities_Resets!$I19)/50)*((Calculator!I30-Calculator!K$3)*10000)+Volatilities_Resets!$I19)),IF(I30&gt;=K$2,IF(I30&lt;L$2,(((Volatilities_Resets!$I19-Volatilities_Resets!$G19)/50)*((Calculator!I30-Calculator!K$2)*10000)+Volatilities_Resets!$G19)),"Well, something broke...")))))))))))/10000</f>
        <v>2.1023E-2</v>
      </c>
      <c r="L30" s="47">
        <f t="shared" ca="1" si="17"/>
        <v>36519.769541265479</v>
      </c>
      <c r="M30" s="63">
        <f t="shared" ca="1" si="18"/>
        <v>1.4638733017123611E-3</v>
      </c>
      <c r="N30" s="63">
        <f t="shared" ca="1" si="44"/>
        <v>795057.14665602171</v>
      </c>
      <c r="Q30" s="63">
        <f t="shared" ca="1" si="19"/>
        <v>72.788938451627175</v>
      </c>
      <c r="R30" s="63">
        <f ca="1">SUM($Q$15:Q30)</f>
        <v>630.66701940437758</v>
      </c>
      <c r="T30" s="52">
        <f ca="1">EXP(-AVERAGE(J$15:J30)*G30)</f>
        <v>0.94453806617557134</v>
      </c>
      <c r="U30" s="57"/>
      <c r="V30" s="52">
        <f t="shared" ca="1" si="20"/>
        <v>16</v>
      </c>
      <c r="W30" s="71">
        <f t="shared" ca="1" si="21"/>
        <v>45466</v>
      </c>
      <c r="X30" s="71">
        <f t="shared" ca="1" si="3"/>
        <v>45496</v>
      </c>
      <c r="Y30" s="72">
        <f t="shared" ca="1" si="4"/>
        <v>30</v>
      </c>
      <c r="Z30" s="73">
        <f ca="1">SUM(Y$15:Y30)/360</f>
        <v>1.3555555555555556</v>
      </c>
      <c r="AA30" s="74">
        <f t="shared" si="22"/>
        <v>25000000</v>
      </c>
      <c r="AB30" s="59">
        <f t="shared" si="23"/>
        <v>0.03</v>
      </c>
      <c r="AC30" s="57">
        <f>Volatilities_Resets!$E19*0.01</f>
        <v>3.4332399999999999E-2</v>
      </c>
      <c r="AD30" s="61">
        <f>IF(AB30=AE$11,Volatilities_Resets!$AA19,IF(AB30&gt;=AD$11,IF(AB30&lt;AE$11,(((Volatilities_Resets!$AA19-Volatilities_Resets!$Y19)/50)*((Calculator!AB30-Calculator!AD$11)*10000)+Volatilities_Resets!$Y19)),IF(AB30&gt;=AD$10,IF(AB30&lt;AE$10,(((Volatilities_Resets!$Y19-Volatilities_Resets!$W19)/50)*((Calculator!AB30-Calculator!AD$10)*10000)+Volatilities_Resets!$W19)),IF(AB30&gt;=AD$9,IF(AB30&lt;AE$9,(((Volatilities_Resets!$W19-Volatilities_Resets!$U19)/50)*((Calculator!AB30-Calculator!AD$9)*10000)+Volatilities_Resets!$U19)),IF(AB30&gt;=AD$8,IF(AB30&lt;AE$8,(((Volatilities_Resets!$U19-Volatilities_Resets!$S19)/50)*((Calculator!AB30-Calculator!AD$8)*10000)+Volatilities_Resets!$S19)),IF(AB30&gt;=AD$7,IF(AB30&lt;AE$7,(((Volatilities_Resets!$S19-Volatilities_Resets!$Q19)/50)*((Calculator!AB30-Calculator!AD$7)*10000)+Volatilities_Resets!$Q19)),IF(AB30&gt;=AD$6,IF(AB30&lt;AE$6,(((Volatilities_Resets!$Q19-Volatilities_Resets!$O19)/50)*((Calculator!AB30-Calculator!AD$6)*10000)+Volatilities_Resets!$O19)),IF(AB30&gt;=AD$5,IF(AB30&lt;AE$5,(((Volatilities_Resets!$O19-Volatilities_Resets!$M19)/50)*((Calculator!AB30-Calculator!AD$5)*10000)+Volatilities_Resets!$M19)),IF(AB30&gt;=AD$4,IF(AB30&lt;AE$4,(((Volatilities_Resets!$M19-Volatilities_Resets!$K19)/50)*((Calculator!AB30-Calculator!AD$4)*10000)+Volatilities_Resets!$K19)),IF(AB30&gt;=AD$3,IF(AB30&lt;AE$3,(((Volatilities_Resets!$K19-Volatilities_Resets!$I19)/50)*((Calculator!AB30-Calculator!AD$3)*10000)+Volatilities_Resets!$I19)),IF(AB30&gt;=AD$2,IF(AB30&lt;AE$2,(((Volatilities_Resets!$I19-Volatilities_Resets!$G19)/50)*((Calculator!AB30-Calculator!AD$2)*10000)+Volatilities_Resets!$G19)),"Well, something broke...")))))))))))/10000</f>
        <v>2.1302999999999999E-2</v>
      </c>
      <c r="AE30" s="63">
        <f t="shared" ca="1" si="24"/>
        <v>24029.885339390454</v>
      </c>
      <c r="AF30" s="63">
        <f t="shared" ca="1" si="25"/>
        <v>9.6479632546416438E-4</v>
      </c>
      <c r="AG30" s="63">
        <f t="shared" ca="1" si="45"/>
        <v>525946.56545240199</v>
      </c>
      <c r="AJ30" s="63">
        <f t="shared" ca="1" si="26"/>
        <v>85.02995879190145</v>
      </c>
      <c r="AK30" s="63">
        <f ca="1">SUM($AJ$15:AJ30)</f>
        <v>825.23634912922864</v>
      </c>
      <c r="AM30" s="52">
        <f ca="1">EXP(-AVERAGE(AC$15:AC30)*Z30)</f>
        <v>0.94453806617557134</v>
      </c>
      <c r="AO30" s="52">
        <f t="shared" ca="1" si="27"/>
        <v>16</v>
      </c>
      <c r="AP30" s="71">
        <f t="shared" ca="1" si="28"/>
        <v>45466</v>
      </c>
      <c r="AQ30" s="71">
        <f t="shared" ca="1" si="5"/>
        <v>45496</v>
      </c>
      <c r="AR30" s="72">
        <f t="shared" ca="1" si="6"/>
        <v>30</v>
      </c>
      <c r="AS30" s="73">
        <f ca="1">SUM(AR$15:AR30)/360</f>
        <v>1.3555555555555556</v>
      </c>
      <c r="AT30" s="74">
        <f t="shared" si="7"/>
        <v>25000000</v>
      </c>
      <c r="AU30" s="59">
        <f t="shared" si="29"/>
        <v>0.04</v>
      </c>
      <c r="AV30" s="57">
        <f>Volatilities_Resets!$E19*0.01</f>
        <v>3.4332399999999999E-2</v>
      </c>
      <c r="AW30" s="61">
        <f>IF(AU30=AX$11,Volatilities_Resets!$AA19,IF(AU30&gt;=AW$11,IF(AU30&lt;AX$11,(((Volatilities_Resets!$AA19-Volatilities_Resets!$Y19)/50)*((Calculator!AU30-Calculator!AW$11)*10000)+Volatilities_Resets!$Y19)),IF(AU30&gt;=AW$10,IF(AU30&lt;AX$10,(((Volatilities_Resets!$Y19-Volatilities_Resets!$W19)/50)*((Calculator!AU30-Calculator!AW$10)*10000)+Volatilities_Resets!$W19)),IF(AU30&gt;=AW$9,IF(AU30&lt;AX$9,(((Volatilities_Resets!$W19-Volatilities_Resets!$U19)/50)*((Calculator!AU30-Calculator!AW$9)*10000)+Volatilities_Resets!$U19)),IF(AU30&gt;=AW$8,IF(AU30&lt;AX$8,(((Volatilities_Resets!$U19-Volatilities_Resets!$S19)/50)*((Calculator!AU30-Calculator!AW$8)*10000)+Volatilities_Resets!$S19)),IF(AU30&gt;=AW$7,IF(AU30&lt;AX$7,(((Volatilities_Resets!$S19-Volatilities_Resets!$Q19)/50)*((Calculator!AU30-Calculator!AW$7)*10000)+Volatilities_Resets!$Q19)),IF(AU30&gt;=AW$6,IF(AU30&lt;AX$6,(((Volatilities_Resets!$Q19-Volatilities_Resets!$O19)/50)*((Calculator!AU30-Calculator!AW$6)*10000)+Volatilities_Resets!$O19)),IF(AU30&gt;=AW$5,IF(AU30&lt;AX$5,(((Volatilities_Resets!$O19-Volatilities_Resets!$M19)/50)*((Calculator!AU30-Calculator!AW$5)*10000)+Volatilities_Resets!$M19)),IF(AU30&gt;=AW$4,IF(AU30&lt;AX$4,(((Volatilities_Resets!$M19-Volatilities_Resets!$K19)/50)*((Calculator!AU30-Calculator!AW$4)*10000)+Volatilities_Resets!$K19)),IF(AU30&gt;=AW$3,IF(AU30&lt;AX$3,(((Volatilities_Resets!$K19-Volatilities_Resets!$I19)/50)*((Calculator!AU30-Calculator!AW$3)*10000)+Volatilities_Resets!$I19)),IF(AU30&gt;=AW$2,IF(AU30&lt;AX$2,(((Volatilities_Resets!$I19-Volatilities_Resets!$G19)/50)*((Calculator!AU30-Calculator!AW$2)*10000)+Volatilities_Resets!$G19)),"Well, something broke...")))))))))))/10000</f>
        <v>2.1055000000000001E-2</v>
      </c>
      <c r="AX30" s="63">
        <f t="shared" ca="1" si="30"/>
        <v>14180.039245129745</v>
      </c>
      <c r="AY30" s="63">
        <f t="shared" ca="1" si="31"/>
        <v>5.7076160820861296E-4</v>
      </c>
      <c r="AZ30" s="63">
        <f t="shared" ca="1" si="46"/>
        <v>289045.29257486091</v>
      </c>
      <c r="BC30" s="63">
        <f t="shared" ca="1" si="8"/>
        <v>84.064794727001242</v>
      </c>
      <c r="BD30" s="63">
        <f ca="1">SUM($BC$15:BC30)</f>
        <v>954.62828161779703</v>
      </c>
      <c r="BF30" s="52">
        <f ca="1">EXP(-AVERAGE(AV$15:AV30)*AS30)</f>
        <v>0.94453806617557134</v>
      </c>
      <c r="BH30" s="52">
        <f t="shared" ca="1" si="32"/>
        <v>16</v>
      </c>
      <c r="BI30" s="71">
        <f t="shared" ca="1" si="33"/>
        <v>45466</v>
      </c>
      <c r="BJ30" s="71">
        <f t="shared" ca="1" si="9"/>
        <v>45496</v>
      </c>
      <c r="BK30" s="72">
        <f t="shared" ca="1" si="10"/>
        <v>30</v>
      </c>
      <c r="BL30" s="73">
        <f ca="1">SUM(BK$15:BK30)/360</f>
        <v>1.3555555555555556</v>
      </c>
      <c r="BM30" s="74">
        <f t="shared" si="11"/>
        <v>25000000</v>
      </c>
      <c r="BN30" s="59">
        <f t="shared" si="34"/>
        <v>0.05</v>
      </c>
      <c r="BO30" s="57">
        <f>Volatilities_Resets!$E19*0.01</f>
        <v>3.4332399999999999E-2</v>
      </c>
      <c r="BP30" s="61">
        <f>IF(BN30=BQ$11,Volatilities_Resets!$AA19,IF(BN30&gt;=BP$11,IF(BN30&lt;BQ$11,(((Volatilities_Resets!$AA19-Volatilities_Resets!$Y19)/50)*((Calculator!BN30-Calculator!BP$11)*10000)+Volatilities_Resets!$Y19)),IF(BN30&gt;=BP$10,IF(BN30&lt;BQ$10,(((Volatilities_Resets!$Y19-Volatilities_Resets!$W19)/50)*((Calculator!BN30-Calculator!BP$10)*10000)+Volatilities_Resets!$W19)),IF(BN30&gt;=BP$9,IF(BN30&lt;BQ$9,(((Volatilities_Resets!$W19-Volatilities_Resets!$U19)/50)*((Calculator!BN30-Calculator!BP$9)*10000)+Volatilities_Resets!$U19)),IF(BN30&gt;=BP$8,IF(BN30&lt;BQ$8,(((Volatilities_Resets!$U19-Volatilities_Resets!$S19)/50)*((Calculator!BN30-Calculator!BP$8)*10000)+Volatilities_Resets!$S19)),IF(BN30&gt;=BP$7,IF(BN30&lt;BQ$7,(((Volatilities_Resets!$S19-Volatilities_Resets!$Q19)/50)*((Calculator!BN30-Calculator!BP$7)*10000)+Volatilities_Resets!$Q19)),IF(BN30&gt;=BP$6,IF(BN30&lt;BQ$6,(((Volatilities_Resets!$Q19-Volatilities_Resets!$O19)/50)*((Calculator!BN30-Calculator!BP$6)*10000)+Volatilities_Resets!$O19)),IF(BN30&gt;=BP$5,IF(BN30&lt;BQ$5,(((Volatilities_Resets!$O19-Volatilities_Resets!$M19)/50)*((Calculator!BN30-Calculator!BP$5)*10000)+Volatilities_Resets!$M19)),IF(BN30&gt;=BP$4,IF(BN30&lt;BQ$4,(((Volatilities_Resets!$M19-Volatilities_Resets!$K19)/50)*((Calculator!BN30-Calculator!BP$4)*10000)+Volatilities_Resets!$K19)),IF(BN30&gt;=BP$3,IF(BN30&lt;BQ$3,(((Volatilities_Resets!$K19-Volatilities_Resets!$I19)/50)*((Calculator!BN30-Calculator!BP$3)*10000)+Volatilities_Resets!$I19)),IF(BN30&gt;=BP$2,IF(BN30&lt;BQ$2,(((Volatilities_Resets!$I19-Volatilities_Resets!$G19)/50)*((Calculator!BN30-Calculator!BP$2)*10000)+Volatilities_Resets!$G19)),"Well, something broke...")))))))))))/10000</f>
        <v>2.0848999999999999E-2</v>
      </c>
      <c r="BQ30" s="63">
        <f t="shared" ca="1" si="35"/>
        <v>7477.8462255924651</v>
      </c>
      <c r="BR30" s="63">
        <f t="shared" ca="1" si="36"/>
        <v>3.0208534904752494E-4</v>
      </c>
      <c r="BS30" s="63">
        <f t="shared" ca="1" si="47"/>
        <v>114666.87874139418</v>
      </c>
      <c r="BV30" s="63">
        <f t="shared" ca="1" si="37"/>
        <v>70.167372153639462</v>
      </c>
      <c r="BW30" s="63">
        <f ca="1">SUM($BV$15:BV30)</f>
        <v>896.84695191208016</v>
      </c>
      <c r="BY30" s="52">
        <f ca="1">EXP(-AVERAGE(BO$15:BO30)*BL30)</f>
        <v>0.94453806617557134</v>
      </c>
      <c r="CA30" s="52">
        <f t="shared" ca="1" si="38"/>
        <v>16</v>
      </c>
      <c r="CB30" s="71">
        <f t="shared" ca="1" si="39"/>
        <v>45466</v>
      </c>
      <c r="CC30" s="71">
        <f t="shared" ca="1" si="12"/>
        <v>45496</v>
      </c>
      <c r="CD30" s="72">
        <f t="shared" ca="1" si="13"/>
        <v>30</v>
      </c>
      <c r="CE30" s="73">
        <f ca="1">SUM(CD$15:CD30)/360</f>
        <v>1.3555555555555556</v>
      </c>
      <c r="CF30" s="74">
        <f t="shared" si="14"/>
        <v>25000000</v>
      </c>
      <c r="CG30" s="59">
        <f t="shared" si="40"/>
        <v>0.06</v>
      </c>
      <c r="CH30" s="57">
        <f>Volatilities_Resets!$E19*0.01</f>
        <v>3.4332399999999999E-2</v>
      </c>
      <c r="CI30" s="61">
        <f>IF(CG30=CJ$11,Volatilities_Resets!$AA19,IF(CG30&gt;=CI$11,IF(CG30&lt;CJ$11,(((Volatilities_Resets!$AA19-Volatilities_Resets!$Y19)/50)*((Calculator!CG30-Calculator!CI$11)*10000)+Volatilities_Resets!$Y19)),IF(CG30&gt;=CI$10,IF(CG30&lt;CJ$10,(((Volatilities_Resets!$Y19-Volatilities_Resets!$W19)/50)*((Calculator!CG30-Calculator!CI$10)*10000)+Volatilities_Resets!$W19)),IF(CG30&gt;=CI$9,IF(CG30&lt;CJ$9,(((Volatilities_Resets!$W19-Volatilities_Resets!$U19)/50)*((Calculator!CG30-Calculator!CI$9)*10000)+Volatilities_Resets!$U19)),IF(CG30&gt;=CI$8,IF(CG30&lt;CJ$8,(((Volatilities_Resets!$U19-Volatilities_Resets!$S19)/50)*((Calculator!CG30-Calculator!CI$8)*10000)+Volatilities_Resets!$S19)),IF(CG30&gt;=CI$7,IF(CG30&lt;CJ$7,(((Volatilities_Resets!$S19-Volatilities_Resets!$Q19)/50)*((Calculator!CG30-Calculator!CI$7)*10000)+Volatilities_Resets!$Q19)),IF(CG30&gt;=CI$6,IF(CG30&lt;CJ$6,(((Volatilities_Resets!$Q19-Volatilities_Resets!$O19)/50)*((Calculator!CG30-Calculator!CI$6)*10000)+Volatilities_Resets!$O19)),IF(CG30&gt;=CI$5,IF(CG30&lt;CJ$5,(((Volatilities_Resets!$O19-Volatilities_Resets!$M19)/50)*((Calculator!CG30-Calculator!CI$5)*10000)+Volatilities_Resets!$M19)),IF(CG30&gt;=CI$4,IF(CG30&lt;CJ$4,(((Volatilities_Resets!$M19-Volatilities_Resets!$K19)/50)*((Calculator!CG30-Calculator!CI$4)*10000)+Volatilities_Resets!$K19)),IF(CG30&gt;=CI$3,IF(CG30&lt;CJ$3,(((Volatilities_Resets!$K19-Volatilities_Resets!$I19)/50)*((Calculator!CG30-Calculator!CI$3)*10000)+Volatilities_Resets!$I19)),IF(CG30&gt;=CI$2,IF(CG30&lt;CJ$2,(((Volatilities_Resets!$I19-Volatilities_Resets!$G19)/50)*((Calculator!CG30-Calculator!CI$2)*10000)+Volatilities_Resets!$G19)),"Well, something broke...")))))))))))/10000</f>
        <v>2.1840000000000002E-2</v>
      </c>
      <c r="CJ30" s="63">
        <f t="shared" ca="1" si="41"/>
        <v>4094.5558510502856</v>
      </c>
      <c r="CK30" s="63">
        <f t="shared" ca="1" si="42"/>
        <v>1.6598392391442264E-4</v>
      </c>
      <c r="CL30" s="63">
        <f t="shared" ca="1" si="48"/>
        <v>35384.779581499351</v>
      </c>
      <c r="CO30" s="63">
        <f t="shared" ca="1" si="43"/>
        <v>51.989497360140838</v>
      </c>
      <c r="CP30" s="63">
        <f ca="1">SUM($CO$15:CO30)</f>
        <v>544.67613641325636</v>
      </c>
      <c r="CR30" s="52">
        <f ca="1">EXP(-AVERAGE(CH$15:CH30)*CE30)</f>
        <v>0.94453806617557134</v>
      </c>
      <c r="CT30"/>
      <c r="CU30"/>
      <c r="CV30"/>
      <c r="CW30"/>
      <c r="CX30"/>
      <c r="CY30"/>
      <c r="CZ30"/>
      <c r="DA30"/>
      <c r="DB30"/>
      <c r="DC30"/>
      <c r="DD30"/>
      <c r="DE30"/>
      <c r="DF30"/>
      <c r="DG30"/>
      <c r="DH30"/>
      <c r="DI30"/>
      <c r="DJ30"/>
      <c r="DK30"/>
      <c r="DL30"/>
    </row>
    <row r="31" spans="2:116" ht="15.75" customHeight="1">
      <c r="B31" s="52">
        <v>2</v>
      </c>
      <c r="C31" s="52">
        <f t="shared" ca="1" si="15"/>
        <v>17</v>
      </c>
      <c r="D31" s="71">
        <f t="shared" ca="1" si="16"/>
        <v>45496</v>
      </c>
      <c r="E31" s="71">
        <f t="shared" ca="1" si="0"/>
        <v>45527</v>
      </c>
      <c r="F31" s="72">
        <f t="shared" ca="1" si="1"/>
        <v>31</v>
      </c>
      <c r="G31" s="73">
        <f ca="1">SUM($F$15:F31)/360</f>
        <v>1.4416666666666667</v>
      </c>
      <c r="H31" s="74">
        <f t="shared" si="2"/>
        <v>25000000</v>
      </c>
      <c r="I31" s="59">
        <f>IF('Cap Pricer'!$E$22=DataValidation!$C$2,'Cap Pricer'!$E$23,IF('Cap Pricer'!$E$22=DataValidation!$C$3,VLOOKUP($B31,'Cap Pricer'!$C$25:$E$31,3),""))</f>
        <v>0.02</v>
      </c>
      <c r="J31" s="57">
        <f>Volatilities_Resets!$E20*0.01</f>
        <v>3.4335600000000001E-2</v>
      </c>
      <c r="K31" s="61">
        <f>IF(I31=L$11,Volatilities_Resets!$AA20,IF(I31&gt;=K$11,IF(I31&lt;L$11,(((Volatilities_Resets!$AA20-Volatilities_Resets!$Y20)/50)*((Calculator!I31-Calculator!K$11)*10000)+Volatilities_Resets!$Y20)),IF(I31&gt;=K$10,IF(I31&lt;L$10,(((Volatilities_Resets!$Y20-Volatilities_Resets!$W20)/50)*((Calculator!I31-Calculator!K$10)*10000)+Volatilities_Resets!$W20)),IF(I31&gt;=K$9,IF(I31&lt;L$9,(((Volatilities_Resets!$W20-Volatilities_Resets!$U20)/50)*((Calculator!I31-Calculator!K$9)*10000)+Volatilities_Resets!$U20)),IF(I31&gt;=K$8,IF(I31&lt;L$8,(((Volatilities_Resets!$U20-Volatilities_Resets!$S20)/50)*((Calculator!I31-Calculator!K$8)*10000)+Volatilities_Resets!$S20)),IF(I31&gt;=K$7,IF(I31&lt;L$7,(((Volatilities_Resets!$S20-Volatilities_Resets!$Q20)/50)*((Calculator!I31-Calculator!K$7)*10000)+Volatilities_Resets!$Q20)),IF(I31&gt;=K$6,IF(I31&lt;L$6,(((Volatilities_Resets!$Q20-Volatilities_Resets!$O20)/50)*((Calculator!I31-Calculator!K$6)*10000)+Volatilities_Resets!$O20)),IF(I31&gt;=K$5,IF(I31&lt;L$5,(((Volatilities_Resets!$O20-Volatilities_Resets!$M20)/50)*((Calculator!I31-Calculator!K$5)*10000)+Volatilities_Resets!$M20)),IF(I31&gt;=K$4,IF(I31&lt;L$4,(((Volatilities_Resets!$M20-Volatilities_Resets!$K20)/50)*((Calculator!I31-Calculator!K$4)*10000)+Volatilities_Resets!$K20)),IF(I31&gt;=K$3,IF(I31&lt;L$3,(((Volatilities_Resets!$K20-Volatilities_Resets!$I20)/50)*((Calculator!I31-Calculator!K$3)*10000)+Volatilities_Resets!$I20)),IF(I31&gt;=K$2,IF(I31&lt;L$2,(((Volatilities_Resets!$I20-Volatilities_Resets!$G20)/50)*((Calculator!I31-Calculator!K$2)*10000)+Volatilities_Resets!$G20)),"Well, something broke...")))))))))))/10000</f>
        <v>2.0937000000000001E-2</v>
      </c>
      <c r="L31" s="47">
        <f t="shared" ca="1" si="17"/>
        <v>38083.201612566016</v>
      </c>
      <c r="M31" s="63">
        <f t="shared" ca="1" si="18"/>
        <v>1.5266321718476294E-3</v>
      </c>
      <c r="N31" s="63">
        <f t="shared" ca="1" si="44"/>
        <v>833140.34826858772</v>
      </c>
      <c r="Q31" s="63">
        <f t="shared" ca="1" si="19"/>
        <v>77.790246934645054</v>
      </c>
      <c r="R31" s="63">
        <f ca="1">SUM($Q$15:Q31)</f>
        <v>708.45726633902268</v>
      </c>
      <c r="T31" s="52">
        <f ca="1">EXP(-AVERAGE(J$15:J31)*G31)</f>
        <v>0.94173994743393152</v>
      </c>
      <c r="U31" s="57"/>
      <c r="V31" s="52">
        <f t="shared" ca="1" si="20"/>
        <v>17</v>
      </c>
      <c r="W31" s="71">
        <f t="shared" ca="1" si="21"/>
        <v>45496</v>
      </c>
      <c r="X31" s="71">
        <f t="shared" ca="1" si="3"/>
        <v>45527</v>
      </c>
      <c r="Y31" s="72">
        <f t="shared" ca="1" si="4"/>
        <v>31</v>
      </c>
      <c r="Z31" s="73">
        <f ca="1">SUM(Y$15:Y31)/360</f>
        <v>1.4416666666666667</v>
      </c>
      <c r="AA31" s="74">
        <f t="shared" si="22"/>
        <v>25000000</v>
      </c>
      <c r="AB31" s="59">
        <f t="shared" si="23"/>
        <v>0.03</v>
      </c>
      <c r="AC31" s="57">
        <f>Volatilities_Resets!$E20*0.01</f>
        <v>3.4335600000000001E-2</v>
      </c>
      <c r="AD31" s="61">
        <f>IF(AB31=AE$11,Volatilities_Resets!$AA20,IF(AB31&gt;=AD$11,IF(AB31&lt;AE$11,(((Volatilities_Resets!$AA20-Volatilities_Resets!$Y20)/50)*((Calculator!AB31-Calculator!AD$11)*10000)+Volatilities_Resets!$Y20)),IF(AB31&gt;=AD$10,IF(AB31&lt;AE$10,(((Volatilities_Resets!$Y20-Volatilities_Resets!$W20)/50)*((Calculator!AB31-Calculator!AD$10)*10000)+Volatilities_Resets!$W20)),IF(AB31&gt;=AD$9,IF(AB31&lt;AE$9,(((Volatilities_Resets!$W20-Volatilities_Resets!$U20)/50)*((Calculator!AB31-Calculator!AD$9)*10000)+Volatilities_Resets!$U20)),IF(AB31&gt;=AD$8,IF(AB31&lt;AE$8,(((Volatilities_Resets!$U20-Volatilities_Resets!$S20)/50)*((Calculator!AB31-Calculator!AD$8)*10000)+Volatilities_Resets!$S20)),IF(AB31&gt;=AD$7,IF(AB31&lt;AE$7,(((Volatilities_Resets!$S20-Volatilities_Resets!$Q20)/50)*((Calculator!AB31-Calculator!AD$7)*10000)+Volatilities_Resets!$Q20)),IF(AB31&gt;=AD$6,IF(AB31&lt;AE$6,(((Volatilities_Resets!$Q20-Volatilities_Resets!$O20)/50)*((Calculator!AB31-Calculator!AD$6)*10000)+Volatilities_Resets!$O20)),IF(AB31&gt;=AD$5,IF(AB31&lt;AE$5,(((Volatilities_Resets!$O20-Volatilities_Resets!$M20)/50)*((Calculator!AB31-Calculator!AD$5)*10000)+Volatilities_Resets!$M20)),IF(AB31&gt;=AD$4,IF(AB31&lt;AE$4,(((Volatilities_Resets!$M20-Volatilities_Resets!$K20)/50)*((Calculator!AB31-Calculator!AD$4)*10000)+Volatilities_Resets!$K20)),IF(AB31&gt;=AD$3,IF(AB31&lt;AE$3,(((Volatilities_Resets!$K20-Volatilities_Resets!$I20)/50)*((Calculator!AB31-Calculator!AD$3)*10000)+Volatilities_Resets!$I20)),IF(AB31&gt;=AD$2,IF(AB31&lt;AE$2,(((Volatilities_Resets!$I20-Volatilities_Resets!$G20)/50)*((Calculator!AB31-Calculator!AD$2)*10000)+Volatilities_Resets!$G20)),"Well, something broke...")))))))))))/10000</f>
        <v>2.1174999999999999E-2</v>
      </c>
      <c r="AE31" s="63">
        <f t="shared" ca="1" si="24"/>
        <v>25256.625161129872</v>
      </c>
      <c r="AF31" s="63">
        <f t="shared" ca="1" si="25"/>
        <v>1.0140936755276342E-3</v>
      </c>
      <c r="AG31" s="63">
        <f t="shared" ca="1" si="45"/>
        <v>551203.19061353186</v>
      </c>
      <c r="AJ31" s="63">
        <f t="shared" ca="1" si="26"/>
        <v>90.140265510960006</v>
      </c>
      <c r="AK31" s="63">
        <f ca="1">SUM($AJ$15:AJ31)</f>
        <v>915.37661464018868</v>
      </c>
      <c r="AM31" s="52">
        <f ca="1">EXP(-AVERAGE(AC$15:AC31)*Z31)</f>
        <v>0.94173994743393152</v>
      </c>
      <c r="AO31" s="52">
        <f t="shared" ca="1" si="27"/>
        <v>17</v>
      </c>
      <c r="AP31" s="71">
        <f t="shared" ca="1" si="28"/>
        <v>45496</v>
      </c>
      <c r="AQ31" s="71">
        <f t="shared" ca="1" si="5"/>
        <v>45527</v>
      </c>
      <c r="AR31" s="72">
        <f t="shared" ca="1" si="6"/>
        <v>31</v>
      </c>
      <c r="AS31" s="73">
        <f ca="1">SUM(AR$15:AR31)/360</f>
        <v>1.4416666666666667</v>
      </c>
      <c r="AT31" s="74">
        <f t="shared" si="7"/>
        <v>25000000</v>
      </c>
      <c r="AU31" s="59">
        <f t="shared" si="29"/>
        <v>0.04</v>
      </c>
      <c r="AV31" s="57">
        <f>Volatilities_Resets!$E20*0.01</f>
        <v>3.4335600000000001E-2</v>
      </c>
      <c r="AW31" s="61">
        <f>IF(AU31=AX$11,Volatilities_Resets!$AA20,IF(AU31&gt;=AW$11,IF(AU31&lt;AX$11,(((Volatilities_Resets!$AA20-Volatilities_Resets!$Y20)/50)*((Calculator!AU31-Calculator!AW$11)*10000)+Volatilities_Resets!$Y20)),IF(AU31&gt;=AW$10,IF(AU31&lt;AX$10,(((Volatilities_Resets!$Y20-Volatilities_Resets!$W20)/50)*((Calculator!AU31-Calculator!AW$10)*10000)+Volatilities_Resets!$W20)),IF(AU31&gt;=AW$9,IF(AU31&lt;AX$9,(((Volatilities_Resets!$W20-Volatilities_Resets!$U20)/50)*((Calculator!AU31-Calculator!AW$9)*10000)+Volatilities_Resets!$U20)),IF(AU31&gt;=AW$8,IF(AU31&lt;AX$8,(((Volatilities_Resets!$U20-Volatilities_Resets!$S20)/50)*((Calculator!AU31-Calculator!AW$8)*10000)+Volatilities_Resets!$S20)),IF(AU31&gt;=AW$7,IF(AU31&lt;AX$7,(((Volatilities_Resets!$S20-Volatilities_Resets!$Q20)/50)*((Calculator!AU31-Calculator!AW$7)*10000)+Volatilities_Resets!$Q20)),IF(AU31&gt;=AW$6,IF(AU31&lt;AX$6,(((Volatilities_Resets!$Q20-Volatilities_Resets!$O20)/50)*((Calculator!AU31-Calculator!AW$6)*10000)+Volatilities_Resets!$O20)),IF(AU31&gt;=AW$5,IF(AU31&lt;AX$5,(((Volatilities_Resets!$O20-Volatilities_Resets!$M20)/50)*((Calculator!AU31-Calculator!AW$5)*10000)+Volatilities_Resets!$M20)),IF(AU31&gt;=AW$4,IF(AU31&lt;AX$4,(((Volatilities_Resets!$M20-Volatilities_Resets!$K20)/50)*((Calculator!AU31-Calculator!AW$4)*10000)+Volatilities_Resets!$K20)),IF(AU31&gt;=AW$3,IF(AU31&lt;AX$3,(((Volatilities_Resets!$K20-Volatilities_Resets!$I20)/50)*((Calculator!AU31-Calculator!AW$3)*10000)+Volatilities_Resets!$I20)),IF(AU31&gt;=AW$2,IF(AU31&lt;AX$2,(((Volatilities_Resets!$I20-Volatilities_Resets!$G20)/50)*((Calculator!AU31-Calculator!AW$2)*10000)+Volatilities_Resets!$G20)),"Well, something broke...")))))))))))/10000</f>
        <v>2.0903999999999999E-2</v>
      </c>
      <c r="AX31" s="63">
        <f t="shared" ca="1" si="30"/>
        <v>15073.17888984459</v>
      </c>
      <c r="AY31" s="63">
        <f t="shared" ca="1" si="31"/>
        <v>6.0671442116403253E-4</v>
      </c>
      <c r="AZ31" s="63">
        <f t="shared" ca="1" si="46"/>
        <v>304118.47146470548</v>
      </c>
      <c r="BC31" s="63">
        <f t="shared" ca="1" si="8"/>
        <v>89.165481976114563</v>
      </c>
      <c r="BD31" s="63">
        <f ca="1">SUM($BC$15:BC31)</f>
        <v>1043.7937635939115</v>
      </c>
      <c r="BF31" s="52">
        <f ca="1">EXP(-AVERAGE(AV$15:AV31)*AS31)</f>
        <v>0.94173994743393152</v>
      </c>
      <c r="BH31" s="52">
        <f t="shared" ca="1" si="32"/>
        <v>17</v>
      </c>
      <c r="BI31" s="71">
        <f t="shared" ca="1" si="33"/>
        <v>45496</v>
      </c>
      <c r="BJ31" s="71">
        <f t="shared" ca="1" si="9"/>
        <v>45527</v>
      </c>
      <c r="BK31" s="72">
        <f t="shared" ca="1" si="10"/>
        <v>31</v>
      </c>
      <c r="BL31" s="73">
        <f ca="1">SUM(BK$15:BK31)/360</f>
        <v>1.4416666666666667</v>
      </c>
      <c r="BM31" s="74">
        <f t="shared" si="11"/>
        <v>25000000</v>
      </c>
      <c r="BN31" s="59">
        <f t="shared" si="34"/>
        <v>0.05</v>
      </c>
      <c r="BO31" s="57">
        <f>Volatilities_Resets!$E20*0.01</f>
        <v>3.4335600000000001E-2</v>
      </c>
      <c r="BP31" s="61">
        <f>IF(BN31=BQ$11,Volatilities_Resets!$AA20,IF(BN31&gt;=BP$11,IF(BN31&lt;BQ$11,(((Volatilities_Resets!$AA20-Volatilities_Resets!$Y20)/50)*((Calculator!BN31-Calculator!BP$11)*10000)+Volatilities_Resets!$Y20)),IF(BN31&gt;=BP$10,IF(BN31&lt;BQ$10,(((Volatilities_Resets!$Y20-Volatilities_Resets!$W20)/50)*((Calculator!BN31-Calculator!BP$10)*10000)+Volatilities_Resets!$W20)),IF(BN31&gt;=BP$9,IF(BN31&lt;BQ$9,(((Volatilities_Resets!$W20-Volatilities_Resets!$U20)/50)*((Calculator!BN31-Calculator!BP$9)*10000)+Volatilities_Resets!$U20)),IF(BN31&gt;=BP$8,IF(BN31&lt;BQ$8,(((Volatilities_Resets!$U20-Volatilities_Resets!$S20)/50)*((Calculator!BN31-Calculator!BP$8)*10000)+Volatilities_Resets!$S20)),IF(BN31&gt;=BP$7,IF(BN31&lt;BQ$7,(((Volatilities_Resets!$S20-Volatilities_Resets!$Q20)/50)*((Calculator!BN31-Calculator!BP$7)*10000)+Volatilities_Resets!$Q20)),IF(BN31&gt;=BP$6,IF(BN31&lt;BQ$6,(((Volatilities_Resets!$Q20-Volatilities_Resets!$O20)/50)*((Calculator!BN31-Calculator!BP$6)*10000)+Volatilities_Resets!$O20)),IF(BN31&gt;=BP$5,IF(BN31&lt;BQ$5,(((Volatilities_Resets!$O20-Volatilities_Resets!$M20)/50)*((Calculator!BN31-Calculator!BP$5)*10000)+Volatilities_Resets!$M20)),IF(BN31&gt;=BP$4,IF(BN31&lt;BQ$4,(((Volatilities_Resets!$M20-Volatilities_Resets!$K20)/50)*((Calculator!BN31-Calculator!BP$4)*10000)+Volatilities_Resets!$K20)),IF(BN31&gt;=BP$3,IF(BN31&lt;BQ$3,(((Volatilities_Resets!$K20-Volatilities_Resets!$I20)/50)*((Calculator!BN31-Calculator!BP$3)*10000)+Volatilities_Resets!$I20)),IF(BN31&gt;=BP$2,IF(BN31&lt;BQ$2,(((Volatilities_Resets!$I20-Volatilities_Resets!$G20)/50)*((Calculator!BN31-Calculator!BP$2)*10000)+Volatilities_Resets!$G20)),"Well, something broke...")))))))))))/10000</f>
        <v>2.0688999999999999E-2</v>
      </c>
      <c r="BQ31" s="63">
        <f t="shared" ca="1" si="35"/>
        <v>8080.077944386775</v>
      </c>
      <c r="BR31" s="63">
        <f t="shared" ca="1" si="36"/>
        <v>3.2639027089720286E-4</v>
      </c>
      <c r="BS31" s="63">
        <f t="shared" ca="1" si="47"/>
        <v>122746.95668578096</v>
      </c>
      <c r="BV31" s="63">
        <f t="shared" ca="1" si="37"/>
        <v>75.036735333091201</v>
      </c>
      <c r="BW31" s="63">
        <f ca="1">SUM($BV$15:BV31)</f>
        <v>971.88368724517136</v>
      </c>
      <c r="BY31" s="52">
        <f ca="1">EXP(-AVERAGE(BO$15:BO31)*BL31)</f>
        <v>0.94173994743393152</v>
      </c>
      <c r="CA31" s="52">
        <f t="shared" ca="1" si="38"/>
        <v>17</v>
      </c>
      <c r="CB31" s="71">
        <f t="shared" ca="1" si="39"/>
        <v>45496</v>
      </c>
      <c r="CC31" s="71">
        <f t="shared" ca="1" si="12"/>
        <v>45527</v>
      </c>
      <c r="CD31" s="72">
        <f t="shared" ca="1" si="13"/>
        <v>31</v>
      </c>
      <c r="CE31" s="73">
        <f ca="1">SUM(CD$15:CD31)/360</f>
        <v>1.4416666666666667</v>
      </c>
      <c r="CF31" s="74">
        <f t="shared" si="14"/>
        <v>25000000</v>
      </c>
      <c r="CG31" s="59">
        <f t="shared" si="40"/>
        <v>0.06</v>
      </c>
      <c r="CH31" s="57">
        <f>Volatilities_Resets!$E20*0.01</f>
        <v>3.4335600000000001E-2</v>
      </c>
      <c r="CI31" s="61">
        <f>IF(CG31=CJ$11,Volatilities_Resets!$AA20,IF(CG31&gt;=CI$11,IF(CG31&lt;CJ$11,(((Volatilities_Resets!$AA20-Volatilities_Resets!$Y20)/50)*((Calculator!CG31-Calculator!CI$11)*10000)+Volatilities_Resets!$Y20)),IF(CG31&gt;=CI$10,IF(CG31&lt;CJ$10,(((Volatilities_Resets!$Y20-Volatilities_Resets!$W20)/50)*((Calculator!CG31-Calculator!CI$10)*10000)+Volatilities_Resets!$W20)),IF(CG31&gt;=CI$9,IF(CG31&lt;CJ$9,(((Volatilities_Resets!$W20-Volatilities_Resets!$U20)/50)*((Calculator!CG31-Calculator!CI$9)*10000)+Volatilities_Resets!$U20)),IF(CG31&gt;=CI$8,IF(CG31&lt;CJ$8,(((Volatilities_Resets!$U20-Volatilities_Resets!$S20)/50)*((Calculator!CG31-Calculator!CI$8)*10000)+Volatilities_Resets!$S20)),IF(CG31&gt;=CI$7,IF(CG31&lt;CJ$7,(((Volatilities_Resets!$S20-Volatilities_Resets!$Q20)/50)*((Calculator!CG31-Calculator!CI$7)*10000)+Volatilities_Resets!$Q20)),IF(CG31&gt;=CI$6,IF(CG31&lt;CJ$6,(((Volatilities_Resets!$Q20-Volatilities_Resets!$O20)/50)*((Calculator!CG31-Calculator!CI$6)*10000)+Volatilities_Resets!$O20)),IF(CG31&gt;=CI$5,IF(CG31&lt;CJ$5,(((Volatilities_Resets!$O20-Volatilities_Resets!$M20)/50)*((Calculator!CG31-Calculator!CI$5)*10000)+Volatilities_Resets!$M20)),IF(CG31&gt;=CI$4,IF(CG31&lt;CJ$4,(((Volatilities_Resets!$M20-Volatilities_Resets!$K20)/50)*((Calculator!CG31-Calculator!CI$4)*10000)+Volatilities_Resets!$K20)),IF(CG31&gt;=CI$3,IF(CG31&lt;CJ$3,(((Volatilities_Resets!$K20-Volatilities_Resets!$I20)/50)*((Calculator!CG31-Calculator!CI$3)*10000)+Volatilities_Resets!$I20)),IF(CG31&gt;=CI$2,IF(CG31&lt;CJ$2,(((Volatilities_Resets!$I20-Volatilities_Resets!$G20)/50)*((Calculator!CG31-Calculator!CI$2)*10000)+Volatilities_Resets!$G20)),"Well, something broke...")))))))))))/10000</f>
        <v>2.1680000000000001E-2</v>
      </c>
      <c r="CJ31" s="63">
        <f t="shared" ca="1" si="41"/>
        <v>4516.1160791976481</v>
      </c>
      <c r="CK31" s="63">
        <f t="shared" ca="1" si="42"/>
        <v>1.8303922087465008E-4</v>
      </c>
      <c r="CL31" s="63">
        <f t="shared" ca="1" si="48"/>
        <v>39900.895660697002</v>
      </c>
      <c r="CO31" s="63">
        <f t="shared" ca="1" si="43"/>
        <v>56.376737091892942</v>
      </c>
      <c r="CP31" s="63">
        <f ca="1">SUM($CO$15:CO31)</f>
        <v>601.05287350514925</v>
      </c>
      <c r="CR31" s="52">
        <f ca="1">EXP(-AVERAGE(CH$15:CH31)*CE31)</f>
        <v>0.94173994743393152</v>
      </c>
      <c r="CT31"/>
      <c r="CU31"/>
      <c r="CV31"/>
      <c r="CW31"/>
      <c r="CX31"/>
      <c r="CY31"/>
      <c r="CZ31"/>
      <c r="DA31"/>
      <c r="DB31"/>
      <c r="DC31"/>
      <c r="DD31"/>
      <c r="DE31"/>
      <c r="DF31"/>
      <c r="DG31"/>
      <c r="DH31"/>
      <c r="DI31"/>
      <c r="DJ31"/>
      <c r="DK31"/>
      <c r="DL31"/>
    </row>
    <row r="32" spans="2:116" ht="15.75" customHeight="1">
      <c r="B32" s="52">
        <v>2</v>
      </c>
      <c r="C32" s="52">
        <f t="shared" ca="1" si="15"/>
        <v>18</v>
      </c>
      <c r="D32" s="71">
        <f t="shared" ca="1" si="16"/>
        <v>45527</v>
      </c>
      <c r="E32" s="71">
        <f t="shared" ca="1" si="0"/>
        <v>45558</v>
      </c>
      <c r="F32" s="72">
        <f t="shared" ca="1" si="1"/>
        <v>31</v>
      </c>
      <c r="G32" s="73">
        <f ca="1">SUM($F$15:F32)/360</f>
        <v>1.5277777777777777</v>
      </c>
      <c r="H32" s="74">
        <f t="shared" si="2"/>
        <v>25000000</v>
      </c>
      <c r="I32" s="59">
        <f>IF('Cap Pricer'!$E$22=DataValidation!$C$2,'Cap Pricer'!$E$23,IF('Cap Pricer'!$E$22=DataValidation!$C$3,VLOOKUP($B32,'Cap Pricer'!$C$25:$E$31,3),""))</f>
        <v>0.02</v>
      </c>
      <c r="J32" s="57">
        <f>Volatilities_Resets!$E21*0.01</f>
        <v>3.4333999999999996E-2</v>
      </c>
      <c r="K32" s="61">
        <f>IF(I32=L$11,Volatilities_Resets!$AA21,IF(I32&gt;=K$11,IF(I32&lt;L$11,(((Volatilities_Resets!$AA21-Volatilities_Resets!$Y21)/50)*((Calculator!I32-Calculator!K$11)*10000)+Volatilities_Resets!$Y21)),IF(I32&gt;=K$10,IF(I32&lt;L$10,(((Volatilities_Resets!$Y21-Volatilities_Resets!$W21)/50)*((Calculator!I32-Calculator!K$10)*10000)+Volatilities_Resets!$W21)),IF(I32&gt;=K$9,IF(I32&lt;L$9,(((Volatilities_Resets!$W21-Volatilities_Resets!$U21)/50)*((Calculator!I32-Calculator!K$9)*10000)+Volatilities_Resets!$U21)),IF(I32&gt;=K$8,IF(I32&lt;L$8,(((Volatilities_Resets!$U21-Volatilities_Resets!$S21)/50)*((Calculator!I32-Calculator!K$8)*10000)+Volatilities_Resets!$S21)),IF(I32&gt;=K$7,IF(I32&lt;L$7,(((Volatilities_Resets!$S21-Volatilities_Resets!$Q21)/50)*((Calculator!I32-Calculator!K$7)*10000)+Volatilities_Resets!$Q21)),IF(I32&gt;=K$6,IF(I32&lt;L$6,(((Volatilities_Resets!$Q21-Volatilities_Resets!$O21)/50)*((Calculator!I32-Calculator!K$6)*10000)+Volatilities_Resets!$O21)),IF(I32&gt;=K$5,IF(I32&lt;L$5,(((Volatilities_Resets!$O21-Volatilities_Resets!$M21)/50)*((Calculator!I32-Calculator!K$5)*10000)+Volatilities_Resets!$M21)),IF(I32&gt;=K$4,IF(I32&lt;L$4,(((Volatilities_Resets!$M21-Volatilities_Resets!$K21)/50)*((Calculator!I32-Calculator!K$4)*10000)+Volatilities_Resets!$K21)),IF(I32&gt;=K$3,IF(I32&lt;L$3,(((Volatilities_Resets!$K21-Volatilities_Resets!$I21)/50)*((Calculator!I32-Calculator!K$3)*10000)+Volatilities_Resets!$I21)),IF(I32&gt;=K$2,IF(I32&lt;L$2,(((Volatilities_Resets!$I21-Volatilities_Resets!$G21)/50)*((Calculator!I32-Calculator!K$2)*10000)+Volatilities_Resets!$G21)),"Well, something broke...")))))))))))/10000</f>
        <v>2.0886999999999999E-2</v>
      </c>
      <c r="L32" s="47">
        <f t="shared" ca="1" si="17"/>
        <v>38434.877991284899</v>
      </c>
      <c r="M32" s="63">
        <f t="shared" ca="1" si="18"/>
        <v>1.5408150935224654E-3</v>
      </c>
      <c r="N32" s="63">
        <f t="shared" ca="1" si="44"/>
        <v>871575.22625987267</v>
      </c>
      <c r="Q32" s="63">
        <f t="shared" ca="1" si="19"/>
        <v>80.2797230892116</v>
      </c>
      <c r="R32" s="63">
        <f ca="1">SUM($Q$15:Q32)</f>
        <v>788.73698942823432</v>
      </c>
      <c r="T32" s="52">
        <f ca="1">EXP(-AVERAGE(J$15:J32)*G32)</f>
        <v>0.93895130332217913</v>
      </c>
      <c r="U32" s="57"/>
      <c r="V32" s="52">
        <f t="shared" ca="1" si="20"/>
        <v>18</v>
      </c>
      <c r="W32" s="71">
        <f t="shared" ca="1" si="21"/>
        <v>45527</v>
      </c>
      <c r="X32" s="71">
        <f t="shared" ca="1" si="3"/>
        <v>45558</v>
      </c>
      <c r="Y32" s="72">
        <f t="shared" ca="1" si="4"/>
        <v>31</v>
      </c>
      <c r="Z32" s="73">
        <f ca="1">SUM(Y$15:Y32)/360</f>
        <v>1.5277777777777777</v>
      </c>
      <c r="AA32" s="74">
        <f t="shared" si="22"/>
        <v>25000000</v>
      </c>
      <c r="AB32" s="59">
        <f t="shared" si="23"/>
        <v>0.03</v>
      </c>
      <c r="AC32" s="57">
        <f>Volatilities_Resets!$E21*0.01</f>
        <v>3.4333999999999996E-2</v>
      </c>
      <c r="AD32" s="61">
        <f>IF(AB32=AE$11,Volatilities_Resets!$AA21,IF(AB32&gt;=AD$11,IF(AB32&lt;AE$11,(((Volatilities_Resets!$AA21-Volatilities_Resets!$Y21)/50)*((Calculator!AB32-Calculator!AD$11)*10000)+Volatilities_Resets!$Y21)),IF(AB32&gt;=AD$10,IF(AB32&lt;AE$10,(((Volatilities_Resets!$Y21-Volatilities_Resets!$W21)/50)*((Calculator!AB32-Calculator!AD$10)*10000)+Volatilities_Resets!$W21)),IF(AB32&gt;=AD$9,IF(AB32&lt;AE$9,(((Volatilities_Resets!$W21-Volatilities_Resets!$U21)/50)*((Calculator!AB32-Calculator!AD$9)*10000)+Volatilities_Resets!$U21)),IF(AB32&gt;=AD$8,IF(AB32&lt;AE$8,(((Volatilities_Resets!$U21-Volatilities_Resets!$S21)/50)*((Calculator!AB32-Calculator!AD$8)*10000)+Volatilities_Resets!$S21)),IF(AB32&gt;=AD$7,IF(AB32&lt;AE$7,(((Volatilities_Resets!$S21-Volatilities_Resets!$Q21)/50)*((Calculator!AB32-Calculator!AD$7)*10000)+Volatilities_Resets!$Q21)),IF(AB32&gt;=AD$6,IF(AB32&lt;AE$6,(((Volatilities_Resets!$Q21-Volatilities_Resets!$O21)/50)*((Calculator!AB32-Calculator!AD$6)*10000)+Volatilities_Resets!$O21)),IF(AB32&gt;=AD$5,IF(AB32&lt;AE$5,(((Volatilities_Resets!$O21-Volatilities_Resets!$M21)/50)*((Calculator!AB32-Calculator!AD$5)*10000)+Volatilities_Resets!$M21)),IF(AB32&gt;=AD$4,IF(AB32&lt;AE$4,(((Volatilities_Resets!$M21-Volatilities_Resets!$K21)/50)*((Calculator!AB32-Calculator!AD$4)*10000)+Volatilities_Resets!$K21)),IF(AB32&gt;=AD$3,IF(AB32&lt;AE$3,(((Volatilities_Resets!$K21-Volatilities_Resets!$I21)/50)*((Calculator!AB32-Calculator!AD$3)*10000)+Volatilities_Resets!$I21)),IF(AB32&gt;=AD$2,IF(AB32&lt;AE$2,(((Volatilities_Resets!$I21-Volatilities_Resets!$G21)/50)*((Calculator!AB32-Calculator!AD$2)*10000)+Volatilities_Resets!$G21)),"Well, something broke...")))))))))))/10000</f>
        <v>2.1100000000000001E-2</v>
      </c>
      <c r="AE32" s="63">
        <f t="shared" ca="1" si="24"/>
        <v>25701.240907759471</v>
      </c>
      <c r="AF32" s="63">
        <f t="shared" ca="1" si="25"/>
        <v>1.0319821847582906E-3</v>
      </c>
      <c r="AG32" s="63">
        <f t="shared" ca="1" si="45"/>
        <v>576904.43152129138</v>
      </c>
      <c r="AJ32" s="63">
        <f t="shared" ca="1" si="26"/>
        <v>92.311787263609048</v>
      </c>
      <c r="AK32" s="63">
        <f ca="1">SUM($AJ$15:AJ32)</f>
        <v>1007.6884019037977</v>
      </c>
      <c r="AM32" s="52">
        <f ca="1">EXP(-AVERAGE(AC$15:AC32)*Z32)</f>
        <v>0.93895130332217913</v>
      </c>
      <c r="AO32" s="52">
        <f t="shared" ca="1" si="27"/>
        <v>18</v>
      </c>
      <c r="AP32" s="71">
        <f t="shared" ca="1" si="28"/>
        <v>45527</v>
      </c>
      <c r="AQ32" s="71">
        <f t="shared" ca="1" si="5"/>
        <v>45558</v>
      </c>
      <c r="AR32" s="72">
        <f t="shared" ca="1" si="6"/>
        <v>31</v>
      </c>
      <c r="AS32" s="73">
        <f ca="1">SUM(AR$15:AR32)/360</f>
        <v>1.5277777777777777</v>
      </c>
      <c r="AT32" s="74">
        <f t="shared" si="7"/>
        <v>25000000</v>
      </c>
      <c r="AU32" s="59">
        <f t="shared" si="29"/>
        <v>0.04</v>
      </c>
      <c r="AV32" s="57">
        <f>Volatilities_Resets!$E21*0.01</f>
        <v>3.4333999999999996E-2</v>
      </c>
      <c r="AW32" s="61">
        <f>IF(AU32=AX$11,Volatilities_Resets!$AA21,IF(AU32&gt;=AW$11,IF(AU32&lt;AX$11,(((Volatilities_Resets!$AA21-Volatilities_Resets!$Y21)/50)*((Calculator!AU32-Calculator!AW$11)*10000)+Volatilities_Resets!$Y21)),IF(AU32&gt;=AW$10,IF(AU32&lt;AX$10,(((Volatilities_Resets!$Y21-Volatilities_Resets!$W21)/50)*((Calculator!AU32-Calculator!AW$10)*10000)+Volatilities_Resets!$W21)),IF(AU32&gt;=AW$9,IF(AU32&lt;AX$9,(((Volatilities_Resets!$W21-Volatilities_Resets!$U21)/50)*((Calculator!AU32-Calculator!AW$9)*10000)+Volatilities_Resets!$U21)),IF(AU32&gt;=AW$8,IF(AU32&lt;AX$8,(((Volatilities_Resets!$U21-Volatilities_Resets!$S21)/50)*((Calculator!AU32-Calculator!AW$8)*10000)+Volatilities_Resets!$S21)),IF(AU32&gt;=AW$7,IF(AU32&lt;AX$7,(((Volatilities_Resets!$S21-Volatilities_Resets!$Q21)/50)*((Calculator!AU32-Calculator!AW$7)*10000)+Volatilities_Resets!$Q21)),IF(AU32&gt;=AW$6,IF(AU32&lt;AX$6,(((Volatilities_Resets!$Q21-Volatilities_Resets!$O21)/50)*((Calculator!AU32-Calculator!AW$6)*10000)+Volatilities_Resets!$O21)),IF(AU32&gt;=AW$5,IF(AU32&lt;AX$5,(((Volatilities_Resets!$O21-Volatilities_Resets!$M21)/50)*((Calculator!AU32-Calculator!AW$5)*10000)+Volatilities_Resets!$M21)),IF(AU32&gt;=AW$4,IF(AU32&lt;AX$4,(((Volatilities_Resets!$M21-Volatilities_Resets!$K21)/50)*((Calculator!AU32-Calculator!AW$4)*10000)+Volatilities_Resets!$K21)),IF(AU32&gt;=AW$3,IF(AU32&lt;AX$3,(((Volatilities_Resets!$K21-Volatilities_Resets!$I21)/50)*((Calculator!AU32-Calculator!AW$3)*10000)+Volatilities_Resets!$I21)),IF(AU32&gt;=AW$2,IF(AU32&lt;AX$2,(((Volatilities_Resets!$I21-Volatilities_Resets!$G21)/50)*((Calculator!AU32-Calculator!AW$2)*10000)+Volatilities_Resets!$G21)),"Well, something broke...")))))))))))/10000</f>
        <v>2.0816999999999999E-2</v>
      </c>
      <c r="AX32" s="63">
        <f t="shared" ca="1" si="30"/>
        <v>15523.71371259736</v>
      </c>
      <c r="AY32" s="63">
        <f t="shared" ca="1" si="31"/>
        <v>6.2484046205290894E-4</v>
      </c>
      <c r="AZ32" s="63">
        <f t="shared" ca="1" si="46"/>
        <v>319642.18517730286</v>
      </c>
      <c r="BC32" s="63">
        <f t="shared" ca="1" si="8"/>
        <v>91.357932481611414</v>
      </c>
      <c r="BD32" s="63">
        <f ca="1">SUM($BC$15:BC32)</f>
        <v>1135.151696075523</v>
      </c>
      <c r="BF32" s="52">
        <f ca="1">EXP(-AVERAGE(AV$15:AV32)*AS32)</f>
        <v>0.93895130332217913</v>
      </c>
      <c r="BH32" s="52">
        <f t="shared" ca="1" si="32"/>
        <v>18</v>
      </c>
      <c r="BI32" s="71">
        <f t="shared" ca="1" si="33"/>
        <v>45527</v>
      </c>
      <c r="BJ32" s="71">
        <f t="shared" ca="1" si="9"/>
        <v>45558</v>
      </c>
      <c r="BK32" s="72">
        <f t="shared" ca="1" si="10"/>
        <v>31</v>
      </c>
      <c r="BL32" s="73">
        <f ca="1">SUM(BK$15:BK32)/360</f>
        <v>1.5277777777777777</v>
      </c>
      <c r="BM32" s="74">
        <f t="shared" si="11"/>
        <v>25000000</v>
      </c>
      <c r="BN32" s="59">
        <f t="shared" si="34"/>
        <v>0.05</v>
      </c>
      <c r="BO32" s="57">
        <f>Volatilities_Resets!$E21*0.01</f>
        <v>3.4333999999999996E-2</v>
      </c>
      <c r="BP32" s="61">
        <f>IF(BN32=BQ$11,Volatilities_Resets!$AA21,IF(BN32&gt;=BP$11,IF(BN32&lt;BQ$11,(((Volatilities_Resets!$AA21-Volatilities_Resets!$Y21)/50)*((Calculator!BN32-Calculator!BP$11)*10000)+Volatilities_Resets!$Y21)),IF(BN32&gt;=BP$10,IF(BN32&lt;BQ$10,(((Volatilities_Resets!$Y21-Volatilities_Resets!$W21)/50)*((Calculator!BN32-Calculator!BP$10)*10000)+Volatilities_Resets!$W21)),IF(BN32&gt;=BP$9,IF(BN32&lt;BQ$9,(((Volatilities_Resets!$W21-Volatilities_Resets!$U21)/50)*((Calculator!BN32-Calculator!BP$9)*10000)+Volatilities_Resets!$U21)),IF(BN32&gt;=BP$8,IF(BN32&lt;BQ$8,(((Volatilities_Resets!$U21-Volatilities_Resets!$S21)/50)*((Calculator!BN32-Calculator!BP$8)*10000)+Volatilities_Resets!$S21)),IF(BN32&gt;=BP$7,IF(BN32&lt;BQ$7,(((Volatilities_Resets!$S21-Volatilities_Resets!$Q21)/50)*((Calculator!BN32-Calculator!BP$7)*10000)+Volatilities_Resets!$Q21)),IF(BN32&gt;=BP$6,IF(BN32&lt;BQ$6,(((Volatilities_Resets!$Q21-Volatilities_Resets!$O21)/50)*((Calculator!BN32-Calculator!BP$6)*10000)+Volatilities_Resets!$O21)),IF(BN32&gt;=BP$5,IF(BN32&lt;BQ$5,(((Volatilities_Resets!$O21-Volatilities_Resets!$M21)/50)*((Calculator!BN32-Calculator!BP$5)*10000)+Volatilities_Resets!$M21)),IF(BN32&gt;=BP$4,IF(BN32&lt;BQ$4,(((Volatilities_Resets!$M21-Volatilities_Resets!$K21)/50)*((Calculator!BN32-Calculator!BP$4)*10000)+Volatilities_Resets!$K21)),IF(BN32&gt;=BP$3,IF(BN32&lt;BQ$3,(((Volatilities_Resets!$K21-Volatilities_Resets!$I21)/50)*((Calculator!BN32-Calculator!BP$3)*10000)+Volatilities_Resets!$I21)),IF(BN32&gt;=BP$2,IF(BN32&lt;BQ$2,(((Volatilities_Resets!$I21-Volatilities_Resets!$G21)/50)*((Calculator!BN32-Calculator!BP$2)*10000)+Volatilities_Resets!$G21)),"Well, something broke...")))))))))))/10000</f>
        <v>2.06E-2</v>
      </c>
      <c r="BQ32" s="63">
        <f t="shared" ca="1" si="35"/>
        <v>8467.8430702093756</v>
      </c>
      <c r="BR32" s="63">
        <f t="shared" ca="1" si="36"/>
        <v>3.4201619226221564E-4</v>
      </c>
      <c r="BS32" s="63">
        <f t="shared" ca="1" si="47"/>
        <v>131214.79975599033</v>
      </c>
      <c r="BV32" s="63">
        <f t="shared" ca="1" si="37"/>
        <v>77.521449946633027</v>
      </c>
      <c r="BW32" s="63">
        <f ca="1">SUM($BV$15:BV32)</f>
        <v>1049.4051371918044</v>
      </c>
      <c r="BY32" s="52">
        <f ca="1">EXP(-AVERAGE(BO$15:BO32)*BL32)</f>
        <v>0.93895130332217913</v>
      </c>
      <c r="CA32" s="52">
        <f t="shared" ca="1" si="38"/>
        <v>18</v>
      </c>
      <c r="CB32" s="71">
        <f t="shared" ca="1" si="39"/>
        <v>45527</v>
      </c>
      <c r="CC32" s="71">
        <f t="shared" ca="1" si="12"/>
        <v>45558</v>
      </c>
      <c r="CD32" s="72">
        <f t="shared" ca="1" si="13"/>
        <v>31</v>
      </c>
      <c r="CE32" s="73">
        <f ca="1">SUM(CD$15:CD32)/360</f>
        <v>1.5277777777777777</v>
      </c>
      <c r="CF32" s="74">
        <f t="shared" si="14"/>
        <v>25000000</v>
      </c>
      <c r="CG32" s="59">
        <f t="shared" si="40"/>
        <v>0.06</v>
      </c>
      <c r="CH32" s="57">
        <f>Volatilities_Resets!$E21*0.01</f>
        <v>3.4333999999999996E-2</v>
      </c>
      <c r="CI32" s="61">
        <f>IF(CG32=CJ$11,Volatilities_Resets!$AA21,IF(CG32&gt;=CI$11,IF(CG32&lt;CJ$11,(((Volatilities_Resets!$AA21-Volatilities_Resets!$Y21)/50)*((Calculator!CG32-Calculator!CI$11)*10000)+Volatilities_Resets!$Y21)),IF(CG32&gt;=CI$10,IF(CG32&lt;CJ$10,(((Volatilities_Resets!$Y21-Volatilities_Resets!$W21)/50)*((Calculator!CG32-Calculator!CI$10)*10000)+Volatilities_Resets!$W21)),IF(CG32&gt;=CI$9,IF(CG32&lt;CJ$9,(((Volatilities_Resets!$W21-Volatilities_Resets!$U21)/50)*((Calculator!CG32-Calculator!CI$9)*10000)+Volatilities_Resets!$U21)),IF(CG32&gt;=CI$8,IF(CG32&lt;CJ$8,(((Volatilities_Resets!$U21-Volatilities_Resets!$S21)/50)*((Calculator!CG32-Calculator!CI$8)*10000)+Volatilities_Resets!$S21)),IF(CG32&gt;=CI$7,IF(CG32&lt;CJ$7,(((Volatilities_Resets!$S21-Volatilities_Resets!$Q21)/50)*((Calculator!CG32-Calculator!CI$7)*10000)+Volatilities_Resets!$Q21)),IF(CG32&gt;=CI$6,IF(CG32&lt;CJ$6,(((Volatilities_Resets!$Q21-Volatilities_Resets!$O21)/50)*((Calculator!CG32-Calculator!CI$6)*10000)+Volatilities_Resets!$O21)),IF(CG32&gt;=CI$5,IF(CG32&lt;CJ$5,(((Volatilities_Resets!$O21-Volatilities_Resets!$M21)/50)*((Calculator!CG32-Calculator!CI$5)*10000)+Volatilities_Resets!$M21)),IF(CG32&gt;=CI$4,IF(CG32&lt;CJ$4,(((Volatilities_Resets!$M21-Volatilities_Resets!$K21)/50)*((Calculator!CG32-Calculator!CI$4)*10000)+Volatilities_Resets!$K21)),IF(CG32&gt;=CI$3,IF(CG32&lt;CJ$3,(((Volatilities_Resets!$K21-Volatilities_Resets!$I21)/50)*((Calculator!CG32-Calculator!CI$3)*10000)+Volatilities_Resets!$I21)),IF(CG32&gt;=CI$2,IF(CG32&lt;CJ$2,(((Volatilities_Resets!$I21-Volatilities_Resets!$G21)/50)*((Calculator!CG32-Calculator!CI$2)*10000)+Volatilities_Resets!$G21)),"Well, something broke...")))))))))))/10000</f>
        <v>2.1590999999999999E-2</v>
      </c>
      <c r="CJ32" s="63">
        <f t="shared" ca="1" si="41"/>
        <v>4831.5623064344354</v>
      </c>
      <c r="CK32" s="63">
        <f t="shared" ca="1" si="42"/>
        <v>1.9577855728099224E-4</v>
      </c>
      <c r="CL32" s="63">
        <f t="shared" ca="1" si="48"/>
        <v>44732.457967131435</v>
      </c>
      <c r="CO32" s="63">
        <f t="shared" ca="1" si="43"/>
        <v>59.061563329162034</v>
      </c>
      <c r="CP32" s="63">
        <f ca="1">SUM($CO$15:CO32)</f>
        <v>660.11443683431128</v>
      </c>
      <c r="CR32" s="52">
        <f ca="1">EXP(-AVERAGE(CH$15:CH32)*CE32)</f>
        <v>0.93895130332217913</v>
      </c>
      <c r="CT32"/>
      <c r="CU32"/>
      <c r="CV32"/>
      <c r="CW32"/>
      <c r="CX32"/>
      <c r="CY32"/>
      <c r="CZ32"/>
      <c r="DA32"/>
      <c r="DB32"/>
      <c r="DC32"/>
      <c r="DD32"/>
      <c r="DE32"/>
      <c r="DF32"/>
      <c r="DG32"/>
      <c r="DH32"/>
      <c r="DI32"/>
      <c r="DJ32"/>
      <c r="DK32"/>
      <c r="DL32"/>
    </row>
    <row r="33" spans="2:116" ht="15.75" customHeight="1">
      <c r="B33" s="52">
        <v>2</v>
      </c>
      <c r="C33" s="52">
        <f t="shared" ca="1" si="15"/>
        <v>19</v>
      </c>
      <c r="D33" s="71">
        <f t="shared" ca="1" si="16"/>
        <v>45558</v>
      </c>
      <c r="E33" s="71">
        <f t="shared" ca="1" si="0"/>
        <v>45588</v>
      </c>
      <c r="F33" s="72">
        <f t="shared" ca="1" si="1"/>
        <v>30</v>
      </c>
      <c r="G33" s="73">
        <f ca="1">SUM($F$15:F33)/360</f>
        <v>1.6111111111111112</v>
      </c>
      <c r="H33" s="74">
        <f t="shared" si="2"/>
        <v>25000000</v>
      </c>
      <c r="I33" s="59">
        <f>IF('Cap Pricer'!$E$22=DataValidation!$C$2,'Cap Pricer'!$E$23,IF('Cap Pricer'!$E$22=DataValidation!$C$3,VLOOKUP($B33,'Cap Pricer'!$C$25:$E$31,3),""))</f>
        <v>0.02</v>
      </c>
      <c r="J33" s="57">
        <f>Volatilities_Resets!$E22*0.01</f>
        <v>3.05455E-2</v>
      </c>
      <c r="K33" s="61">
        <f>IF(I33=L$11,Volatilities_Resets!$AA22,IF(I33&gt;=K$11,IF(I33&lt;L$11,(((Volatilities_Resets!$AA22-Volatilities_Resets!$Y22)/50)*((Calculator!I33-Calculator!K$11)*10000)+Volatilities_Resets!$Y22)),IF(I33&gt;=K$10,IF(I33&lt;L$10,(((Volatilities_Resets!$Y22-Volatilities_Resets!$W22)/50)*((Calculator!I33-Calculator!K$10)*10000)+Volatilities_Resets!$W22)),IF(I33&gt;=K$9,IF(I33&lt;L$9,(((Volatilities_Resets!$W22-Volatilities_Resets!$U22)/50)*((Calculator!I33-Calculator!K$9)*10000)+Volatilities_Resets!$U22)),IF(I33&gt;=K$8,IF(I33&lt;L$8,(((Volatilities_Resets!$U22-Volatilities_Resets!$S22)/50)*((Calculator!I33-Calculator!K$8)*10000)+Volatilities_Resets!$S22)),IF(I33&gt;=K$7,IF(I33&lt;L$7,(((Volatilities_Resets!$S22-Volatilities_Resets!$Q22)/50)*((Calculator!I33-Calculator!K$7)*10000)+Volatilities_Resets!$Q22)),IF(I33&gt;=K$6,IF(I33&lt;L$6,(((Volatilities_Resets!$Q22-Volatilities_Resets!$O22)/50)*((Calculator!I33-Calculator!K$6)*10000)+Volatilities_Resets!$O22)),IF(I33&gt;=K$5,IF(I33&lt;L$5,(((Volatilities_Resets!$O22-Volatilities_Resets!$M22)/50)*((Calculator!I33-Calculator!K$5)*10000)+Volatilities_Resets!$M22)),IF(I33&gt;=K$4,IF(I33&lt;L$4,(((Volatilities_Resets!$M22-Volatilities_Resets!$K22)/50)*((Calculator!I33-Calculator!K$4)*10000)+Volatilities_Resets!$K22)),IF(I33&gt;=K$3,IF(I33&lt;L$3,(((Volatilities_Resets!$K22-Volatilities_Resets!$I22)/50)*((Calculator!I33-Calculator!K$3)*10000)+Volatilities_Resets!$I22)),IF(I33&gt;=K$2,IF(I33&lt;L$2,(((Volatilities_Resets!$I22-Volatilities_Resets!$G22)/50)*((Calculator!I33-Calculator!K$2)*10000)+Volatilities_Resets!$G22)),"Well, something broke...")))))))))))/10000</f>
        <v>2.0852000000000002E-2</v>
      </c>
      <c r="L33" s="47">
        <f t="shared" ca="1" si="17"/>
        <v>32504.940262562432</v>
      </c>
      <c r="M33" s="63">
        <f t="shared" ca="1" si="18"/>
        <v>1.303849590418198E-3</v>
      </c>
      <c r="N33" s="63">
        <f t="shared" ca="1" si="44"/>
        <v>904080.16652243515</v>
      </c>
      <c r="Q33" s="63">
        <f t="shared" ca="1" si="19"/>
        <v>85.509184428563955</v>
      </c>
      <c r="R33" s="63">
        <f ca="1">SUM($Q$15:Q33)</f>
        <v>874.24617385679824</v>
      </c>
      <c r="T33" s="52">
        <f ca="1">EXP(-AVERAGE(J$15:J33)*G33)</f>
        <v>0.9365789122874203</v>
      </c>
      <c r="U33" s="57"/>
      <c r="V33" s="52">
        <f t="shared" ca="1" si="20"/>
        <v>19</v>
      </c>
      <c r="W33" s="71">
        <f t="shared" ca="1" si="21"/>
        <v>45558</v>
      </c>
      <c r="X33" s="71">
        <f t="shared" ca="1" si="3"/>
        <v>45588</v>
      </c>
      <c r="Y33" s="72">
        <f t="shared" ca="1" si="4"/>
        <v>30</v>
      </c>
      <c r="Z33" s="73">
        <f ca="1">SUM(Y$15:Y33)/360</f>
        <v>1.6111111111111112</v>
      </c>
      <c r="AA33" s="74">
        <f t="shared" si="22"/>
        <v>25000000</v>
      </c>
      <c r="AB33" s="59">
        <f t="shared" si="23"/>
        <v>0.03</v>
      </c>
      <c r="AC33" s="57">
        <f>Volatilities_Resets!$E22*0.01</f>
        <v>3.05455E-2</v>
      </c>
      <c r="AD33" s="61">
        <f>IF(AB33=AE$11,Volatilities_Resets!$AA22,IF(AB33&gt;=AD$11,IF(AB33&lt;AE$11,(((Volatilities_Resets!$AA22-Volatilities_Resets!$Y22)/50)*((Calculator!AB33-Calculator!AD$11)*10000)+Volatilities_Resets!$Y22)),IF(AB33&gt;=AD$10,IF(AB33&lt;AE$10,(((Volatilities_Resets!$Y22-Volatilities_Resets!$W22)/50)*((Calculator!AB33-Calculator!AD$10)*10000)+Volatilities_Resets!$W22)),IF(AB33&gt;=AD$9,IF(AB33&lt;AE$9,(((Volatilities_Resets!$W22-Volatilities_Resets!$U22)/50)*((Calculator!AB33-Calculator!AD$9)*10000)+Volatilities_Resets!$U22)),IF(AB33&gt;=AD$8,IF(AB33&lt;AE$8,(((Volatilities_Resets!$U22-Volatilities_Resets!$S22)/50)*((Calculator!AB33-Calculator!AD$8)*10000)+Volatilities_Resets!$S22)),IF(AB33&gt;=AD$7,IF(AB33&lt;AE$7,(((Volatilities_Resets!$S22-Volatilities_Resets!$Q22)/50)*((Calculator!AB33-Calculator!AD$7)*10000)+Volatilities_Resets!$Q22)),IF(AB33&gt;=AD$6,IF(AB33&lt;AE$6,(((Volatilities_Resets!$Q22-Volatilities_Resets!$O22)/50)*((Calculator!AB33-Calculator!AD$6)*10000)+Volatilities_Resets!$O22)),IF(AB33&gt;=AD$5,IF(AB33&lt;AE$5,(((Volatilities_Resets!$O22-Volatilities_Resets!$M22)/50)*((Calculator!AB33-Calculator!AD$5)*10000)+Volatilities_Resets!$M22)),IF(AB33&gt;=AD$4,IF(AB33&lt;AE$4,(((Volatilities_Resets!$M22-Volatilities_Resets!$K22)/50)*((Calculator!AB33-Calculator!AD$4)*10000)+Volatilities_Resets!$K22)),IF(AB33&gt;=AD$3,IF(AB33&lt;AE$3,(((Volatilities_Resets!$K22-Volatilities_Resets!$I22)/50)*((Calculator!AB33-Calculator!AD$3)*10000)+Volatilities_Resets!$I22)),IF(AB33&gt;=AD$2,IF(AB33&lt;AE$2,(((Volatilities_Resets!$I22-Volatilities_Resets!$G22)/50)*((Calculator!AB33-Calculator!AD$2)*10000)+Volatilities_Resets!$G22)),"Well, something broke...")))))))))))/10000</f>
        <v>2.1047999999999997E-2</v>
      </c>
      <c r="AE33" s="63">
        <f t="shared" ca="1" si="24"/>
        <v>21332.860463140907</v>
      </c>
      <c r="AF33" s="63">
        <f t="shared" ca="1" si="25"/>
        <v>8.5726577160526131E-4</v>
      </c>
      <c r="AG33" s="63">
        <f t="shared" ca="1" si="45"/>
        <v>598237.29198443226</v>
      </c>
      <c r="AJ33" s="63">
        <f t="shared" ca="1" si="26"/>
        <v>92.518849234467694</v>
      </c>
      <c r="AK33" s="63">
        <f ca="1">SUM($AJ$15:AJ33)</f>
        <v>1100.2072511382655</v>
      </c>
      <c r="AM33" s="52">
        <f ca="1">EXP(-AVERAGE(AC$15:AC33)*Z33)</f>
        <v>0.9365789122874203</v>
      </c>
      <c r="AO33" s="52">
        <f t="shared" ca="1" si="27"/>
        <v>19</v>
      </c>
      <c r="AP33" s="71">
        <f t="shared" ca="1" si="28"/>
        <v>45558</v>
      </c>
      <c r="AQ33" s="71">
        <f t="shared" ca="1" si="5"/>
        <v>45588</v>
      </c>
      <c r="AR33" s="72">
        <f t="shared" ca="1" si="6"/>
        <v>30</v>
      </c>
      <c r="AS33" s="73">
        <f ca="1">SUM(AR$15:AR33)/360</f>
        <v>1.6111111111111112</v>
      </c>
      <c r="AT33" s="74">
        <f t="shared" si="7"/>
        <v>25000000</v>
      </c>
      <c r="AU33" s="59">
        <f t="shared" si="29"/>
        <v>0.04</v>
      </c>
      <c r="AV33" s="57">
        <f>Volatilities_Resets!$E22*0.01</f>
        <v>3.05455E-2</v>
      </c>
      <c r="AW33" s="61">
        <f>IF(AU33=AX$11,Volatilities_Resets!$AA22,IF(AU33&gt;=AW$11,IF(AU33&lt;AX$11,(((Volatilities_Resets!$AA22-Volatilities_Resets!$Y22)/50)*((Calculator!AU33-Calculator!AW$11)*10000)+Volatilities_Resets!$Y22)),IF(AU33&gt;=AW$10,IF(AU33&lt;AX$10,(((Volatilities_Resets!$Y22-Volatilities_Resets!$W22)/50)*((Calculator!AU33-Calculator!AW$10)*10000)+Volatilities_Resets!$W22)),IF(AU33&gt;=AW$9,IF(AU33&lt;AX$9,(((Volatilities_Resets!$W22-Volatilities_Resets!$U22)/50)*((Calculator!AU33-Calculator!AW$9)*10000)+Volatilities_Resets!$U22)),IF(AU33&gt;=AW$8,IF(AU33&lt;AX$8,(((Volatilities_Resets!$U22-Volatilities_Resets!$S22)/50)*((Calculator!AU33-Calculator!AW$8)*10000)+Volatilities_Resets!$S22)),IF(AU33&gt;=AW$7,IF(AU33&lt;AX$7,(((Volatilities_Resets!$S22-Volatilities_Resets!$Q22)/50)*((Calculator!AU33-Calculator!AW$7)*10000)+Volatilities_Resets!$Q22)),IF(AU33&gt;=AW$6,IF(AU33&lt;AX$6,(((Volatilities_Resets!$Q22-Volatilities_Resets!$O22)/50)*((Calculator!AU33-Calculator!AW$6)*10000)+Volatilities_Resets!$O22)),IF(AU33&gt;=AW$5,IF(AU33&lt;AX$5,(((Volatilities_Resets!$O22-Volatilities_Resets!$M22)/50)*((Calculator!AU33-Calculator!AW$5)*10000)+Volatilities_Resets!$M22)),IF(AU33&gt;=AW$4,IF(AU33&lt;AX$4,(((Volatilities_Resets!$M22-Volatilities_Resets!$K22)/50)*((Calculator!AU33-Calculator!AW$4)*10000)+Volatilities_Resets!$K22)),IF(AU33&gt;=AW$3,IF(AU33&lt;AX$3,(((Volatilities_Resets!$K22-Volatilities_Resets!$I22)/50)*((Calculator!AU33-Calculator!AW$3)*10000)+Volatilities_Resets!$I22)),IF(AU33&gt;=AW$2,IF(AU33&lt;AX$2,(((Volatilities_Resets!$I22-Volatilities_Resets!$G22)/50)*((Calculator!AU33-Calculator!AW$2)*10000)+Volatilities_Resets!$G22)),"Well, something broke...")))))))))))/10000</f>
        <v>2.0759E-2</v>
      </c>
      <c r="AX33" s="63">
        <f t="shared" ca="1" si="30"/>
        <v>12593.321312342141</v>
      </c>
      <c r="AY33" s="63">
        <f t="shared" ca="1" si="31"/>
        <v>5.0743976908780553E-4</v>
      </c>
      <c r="AZ33" s="63">
        <f t="shared" ca="1" si="46"/>
        <v>332235.50648964499</v>
      </c>
      <c r="BC33" s="63">
        <f t="shared" ca="1" si="8"/>
        <v>86.795497791524014</v>
      </c>
      <c r="BD33" s="63">
        <f ca="1">SUM($BC$15:BC33)</f>
        <v>1221.947193867047</v>
      </c>
      <c r="BF33" s="52">
        <f ca="1">EXP(-AVERAGE(AV$15:AV33)*AS33)</f>
        <v>0.9365789122874203</v>
      </c>
      <c r="BH33" s="52">
        <f t="shared" ca="1" si="32"/>
        <v>19</v>
      </c>
      <c r="BI33" s="71">
        <f t="shared" ca="1" si="33"/>
        <v>45558</v>
      </c>
      <c r="BJ33" s="71">
        <f t="shared" ca="1" si="9"/>
        <v>45588</v>
      </c>
      <c r="BK33" s="72">
        <f t="shared" ca="1" si="10"/>
        <v>30</v>
      </c>
      <c r="BL33" s="73">
        <f ca="1">SUM(BK$15:BK33)/360</f>
        <v>1.6111111111111112</v>
      </c>
      <c r="BM33" s="74">
        <f t="shared" si="11"/>
        <v>25000000</v>
      </c>
      <c r="BN33" s="59">
        <f t="shared" si="34"/>
        <v>0.05</v>
      </c>
      <c r="BO33" s="57">
        <f>Volatilities_Resets!$E22*0.01</f>
        <v>3.05455E-2</v>
      </c>
      <c r="BP33" s="61">
        <f>IF(BN33=BQ$11,Volatilities_Resets!$AA22,IF(BN33&gt;=BP$11,IF(BN33&lt;BQ$11,(((Volatilities_Resets!$AA22-Volatilities_Resets!$Y22)/50)*((Calculator!BN33-Calculator!BP$11)*10000)+Volatilities_Resets!$Y22)),IF(BN33&gt;=BP$10,IF(BN33&lt;BQ$10,(((Volatilities_Resets!$Y22-Volatilities_Resets!$W22)/50)*((Calculator!BN33-Calculator!BP$10)*10000)+Volatilities_Resets!$W22)),IF(BN33&gt;=BP$9,IF(BN33&lt;BQ$9,(((Volatilities_Resets!$W22-Volatilities_Resets!$U22)/50)*((Calculator!BN33-Calculator!BP$9)*10000)+Volatilities_Resets!$U22)),IF(BN33&gt;=BP$8,IF(BN33&lt;BQ$8,(((Volatilities_Resets!$U22-Volatilities_Resets!$S22)/50)*((Calculator!BN33-Calculator!BP$8)*10000)+Volatilities_Resets!$S22)),IF(BN33&gt;=BP$7,IF(BN33&lt;BQ$7,(((Volatilities_Resets!$S22-Volatilities_Resets!$Q22)/50)*((Calculator!BN33-Calculator!BP$7)*10000)+Volatilities_Resets!$Q22)),IF(BN33&gt;=BP$6,IF(BN33&lt;BQ$6,(((Volatilities_Resets!$Q22-Volatilities_Resets!$O22)/50)*((Calculator!BN33-Calculator!BP$6)*10000)+Volatilities_Resets!$O22)),IF(BN33&gt;=BP$5,IF(BN33&lt;BQ$5,(((Volatilities_Resets!$O22-Volatilities_Resets!$M22)/50)*((Calculator!BN33-Calculator!BP$5)*10000)+Volatilities_Resets!$M22)),IF(BN33&gt;=BP$4,IF(BN33&lt;BQ$4,(((Volatilities_Resets!$M22-Volatilities_Resets!$K22)/50)*((Calculator!BN33-Calculator!BP$4)*10000)+Volatilities_Resets!$K22)),IF(BN33&gt;=BP$3,IF(BN33&lt;BQ$3,(((Volatilities_Resets!$K22-Volatilities_Resets!$I22)/50)*((Calculator!BN33-Calculator!BP$3)*10000)+Volatilities_Resets!$I22)),IF(BN33&gt;=BP$2,IF(BN33&lt;BQ$2,(((Volatilities_Resets!$I22-Volatilities_Resets!$G22)/50)*((Calculator!BN33-Calculator!BP$2)*10000)+Volatilities_Resets!$G22)),"Well, something broke...")))))))))))/10000</f>
        <v>2.0541E-2</v>
      </c>
      <c r="BQ33" s="63">
        <f t="shared" ca="1" si="35"/>
        <v>6717.1663996084062</v>
      </c>
      <c r="BR33" s="63">
        <f t="shared" ca="1" si="36"/>
        <v>2.7168251890092069E-4</v>
      </c>
      <c r="BS33" s="63">
        <f t="shared" ca="1" si="47"/>
        <v>137931.96615559873</v>
      </c>
      <c r="BV33" s="63">
        <f t="shared" ca="1" si="37"/>
        <v>70.146550794421543</v>
      </c>
      <c r="BW33" s="63">
        <f ca="1">SUM($BV$15:BV33)</f>
        <v>1119.5516879862259</v>
      </c>
      <c r="BY33" s="52">
        <f ca="1">EXP(-AVERAGE(BO$15:BO33)*BL33)</f>
        <v>0.9365789122874203</v>
      </c>
      <c r="CA33" s="52">
        <f t="shared" ca="1" si="38"/>
        <v>19</v>
      </c>
      <c r="CB33" s="71">
        <f t="shared" ca="1" si="39"/>
        <v>45558</v>
      </c>
      <c r="CC33" s="71">
        <f t="shared" ca="1" si="12"/>
        <v>45588</v>
      </c>
      <c r="CD33" s="72">
        <f t="shared" ca="1" si="13"/>
        <v>30</v>
      </c>
      <c r="CE33" s="73">
        <f ca="1">SUM(CD$15:CD33)/360</f>
        <v>1.6111111111111112</v>
      </c>
      <c r="CF33" s="74">
        <f t="shared" si="14"/>
        <v>25000000</v>
      </c>
      <c r="CG33" s="59">
        <f t="shared" si="40"/>
        <v>0.06</v>
      </c>
      <c r="CH33" s="57">
        <f>Volatilities_Resets!$E22*0.01</f>
        <v>3.05455E-2</v>
      </c>
      <c r="CI33" s="61">
        <f>IF(CG33=CJ$11,Volatilities_Resets!$AA22,IF(CG33&gt;=CI$11,IF(CG33&lt;CJ$11,(((Volatilities_Resets!$AA22-Volatilities_Resets!$Y22)/50)*((Calculator!CG33-Calculator!CI$11)*10000)+Volatilities_Resets!$Y22)),IF(CG33&gt;=CI$10,IF(CG33&lt;CJ$10,(((Volatilities_Resets!$Y22-Volatilities_Resets!$W22)/50)*((Calculator!CG33-Calculator!CI$10)*10000)+Volatilities_Resets!$W22)),IF(CG33&gt;=CI$9,IF(CG33&lt;CJ$9,(((Volatilities_Resets!$W22-Volatilities_Resets!$U22)/50)*((Calculator!CG33-Calculator!CI$9)*10000)+Volatilities_Resets!$U22)),IF(CG33&gt;=CI$8,IF(CG33&lt;CJ$8,(((Volatilities_Resets!$U22-Volatilities_Resets!$S22)/50)*((Calculator!CG33-Calculator!CI$8)*10000)+Volatilities_Resets!$S22)),IF(CG33&gt;=CI$7,IF(CG33&lt;CJ$7,(((Volatilities_Resets!$S22-Volatilities_Resets!$Q22)/50)*((Calculator!CG33-Calculator!CI$7)*10000)+Volatilities_Resets!$Q22)),IF(CG33&gt;=CI$6,IF(CG33&lt;CJ$6,(((Volatilities_Resets!$Q22-Volatilities_Resets!$O22)/50)*((Calculator!CG33-Calculator!CI$6)*10000)+Volatilities_Resets!$O22)),IF(CG33&gt;=CI$5,IF(CG33&lt;CJ$5,(((Volatilities_Resets!$O22-Volatilities_Resets!$M22)/50)*((Calculator!CG33-Calculator!CI$5)*10000)+Volatilities_Resets!$M22)),IF(CG33&gt;=CI$4,IF(CG33&lt;CJ$4,(((Volatilities_Resets!$M22-Volatilities_Resets!$K22)/50)*((Calculator!CG33-Calculator!CI$4)*10000)+Volatilities_Resets!$K22)),IF(CG33&gt;=CI$3,IF(CG33&lt;CJ$3,(((Volatilities_Resets!$K22-Volatilities_Resets!$I22)/50)*((Calculator!CG33-Calculator!CI$3)*10000)+Volatilities_Resets!$I22)),IF(CG33&gt;=CI$2,IF(CG33&lt;CJ$2,(((Volatilities_Resets!$I22-Volatilities_Resets!$G22)/50)*((Calculator!CG33-Calculator!CI$2)*10000)+Volatilities_Resets!$G22)),"Well, something broke...")))))))))))/10000</f>
        <v>2.1534000000000001E-2</v>
      </c>
      <c r="CJ33" s="63">
        <f t="shared" ca="1" si="41"/>
        <v>3824.5270436734095</v>
      </c>
      <c r="CK33" s="63">
        <f t="shared" ca="1" si="42"/>
        <v>1.5519845224622262E-4</v>
      </c>
      <c r="CL33" s="63">
        <f t="shared" ca="1" si="48"/>
        <v>48556.985010804841</v>
      </c>
      <c r="CO33" s="63">
        <f t="shared" ca="1" si="43"/>
        <v>51.918561258993222</v>
      </c>
      <c r="CP33" s="63">
        <f ca="1">SUM($CO$15:CO33)</f>
        <v>712.03299809330451</v>
      </c>
      <c r="CR33" s="52">
        <f ca="1">EXP(-AVERAGE(CH$15:CH33)*CE33)</f>
        <v>0.9365789122874203</v>
      </c>
      <c r="CT33"/>
      <c r="CU33"/>
      <c r="CV33"/>
      <c r="CW33"/>
      <c r="CX33"/>
      <c r="CY33"/>
      <c r="CZ33"/>
      <c r="DA33"/>
      <c r="DB33"/>
      <c r="DC33"/>
      <c r="DD33"/>
      <c r="DE33"/>
      <c r="DF33"/>
      <c r="DG33"/>
      <c r="DH33"/>
      <c r="DI33"/>
      <c r="DJ33"/>
      <c r="DK33"/>
      <c r="DL33"/>
    </row>
    <row r="34" spans="2:116" ht="15.75" customHeight="1">
      <c r="B34" s="52">
        <v>2</v>
      </c>
      <c r="C34" s="52">
        <f t="shared" ca="1" si="15"/>
        <v>20</v>
      </c>
      <c r="D34" s="71">
        <f t="shared" ca="1" si="16"/>
        <v>45588</v>
      </c>
      <c r="E34" s="71">
        <f t="shared" ca="1" si="0"/>
        <v>45619</v>
      </c>
      <c r="F34" s="72">
        <f t="shared" ca="1" si="1"/>
        <v>31</v>
      </c>
      <c r="G34" s="73">
        <f ca="1">SUM($F$15:F34)/360</f>
        <v>1.6972222222222222</v>
      </c>
      <c r="H34" s="74">
        <f t="shared" si="2"/>
        <v>25000000</v>
      </c>
      <c r="I34" s="59">
        <f>IF('Cap Pricer'!$E$22=DataValidation!$C$2,'Cap Pricer'!$E$23,IF('Cap Pricer'!$E$22=DataValidation!$C$3,VLOOKUP($B34,'Cap Pricer'!$C$25:$E$31,3),""))</f>
        <v>0.02</v>
      </c>
      <c r="J34" s="57">
        <f>Volatilities_Resets!$E23*0.01</f>
        <v>2.9600100000000001E-2</v>
      </c>
      <c r="K34" s="61">
        <f>IF(I34=L$11,Volatilities_Resets!$AA23,IF(I34&gt;=K$11,IF(I34&lt;L$11,(((Volatilities_Resets!$AA23-Volatilities_Resets!$Y23)/50)*((Calculator!I34-Calculator!K$11)*10000)+Volatilities_Resets!$Y23)),IF(I34&gt;=K$10,IF(I34&lt;L$10,(((Volatilities_Resets!$Y23-Volatilities_Resets!$W23)/50)*((Calculator!I34-Calculator!K$10)*10000)+Volatilities_Resets!$W23)),IF(I34&gt;=K$9,IF(I34&lt;L$9,(((Volatilities_Resets!$W23-Volatilities_Resets!$U23)/50)*((Calculator!I34-Calculator!K$9)*10000)+Volatilities_Resets!$U23)),IF(I34&gt;=K$8,IF(I34&lt;L$8,(((Volatilities_Resets!$U23-Volatilities_Resets!$S23)/50)*((Calculator!I34-Calculator!K$8)*10000)+Volatilities_Resets!$S23)),IF(I34&gt;=K$7,IF(I34&lt;L$7,(((Volatilities_Resets!$S23-Volatilities_Resets!$Q23)/50)*((Calculator!I34-Calculator!K$7)*10000)+Volatilities_Resets!$Q23)),IF(I34&gt;=K$6,IF(I34&lt;L$6,(((Volatilities_Resets!$Q23-Volatilities_Resets!$O23)/50)*((Calculator!I34-Calculator!K$6)*10000)+Volatilities_Resets!$O23)),IF(I34&gt;=K$5,IF(I34&lt;L$5,(((Volatilities_Resets!$O23-Volatilities_Resets!$M23)/50)*((Calculator!I34-Calculator!K$5)*10000)+Volatilities_Resets!$M23)),IF(I34&gt;=K$4,IF(I34&lt;L$4,(((Volatilities_Resets!$M23-Volatilities_Resets!$K23)/50)*((Calculator!I34-Calculator!K$4)*10000)+Volatilities_Resets!$K23)),IF(I34&gt;=K$3,IF(I34&lt;L$3,(((Volatilities_Resets!$K23-Volatilities_Resets!$I23)/50)*((Calculator!I34-Calculator!K$3)*10000)+Volatilities_Resets!$I23)),IF(I34&gt;=K$2,IF(I34&lt;L$2,(((Volatilities_Resets!$I23-Volatilities_Resets!$G23)/50)*((Calculator!I34-Calculator!K$2)*10000)+Volatilities_Resets!$G23)),"Well, something broke...")))))))))))/10000</f>
        <v>2.0868999999999999E-2</v>
      </c>
      <c r="L34" s="47">
        <f t="shared" ca="1" si="17"/>
        <v>32812.019816281951</v>
      </c>
      <c r="M34" s="63">
        <f t="shared" ca="1" si="18"/>
        <v>1.3164101761800715E-3</v>
      </c>
      <c r="N34" s="63">
        <f t="shared" ca="1" si="44"/>
        <v>936892.18633871712</v>
      </c>
      <c r="Q34" s="63">
        <f t="shared" ca="1" si="19"/>
        <v>91.768962824185408</v>
      </c>
      <c r="R34" s="63">
        <f ca="1">SUM($Q$15:Q34)</f>
        <v>966.01513668098369</v>
      </c>
      <c r="T34" s="52">
        <f ca="1">EXP(-AVERAGE(J$15:J34)*G34)</f>
        <v>0.93418178349581404</v>
      </c>
      <c r="U34" s="57"/>
      <c r="V34" s="52">
        <f t="shared" ca="1" si="20"/>
        <v>20</v>
      </c>
      <c r="W34" s="71">
        <f t="shared" ca="1" si="21"/>
        <v>45588</v>
      </c>
      <c r="X34" s="71">
        <f t="shared" ca="1" si="3"/>
        <v>45619</v>
      </c>
      <c r="Y34" s="72">
        <f t="shared" ca="1" si="4"/>
        <v>31</v>
      </c>
      <c r="Z34" s="73">
        <f ca="1">SUM(Y$15:Y34)/360</f>
        <v>1.6972222222222222</v>
      </c>
      <c r="AA34" s="74">
        <f t="shared" si="22"/>
        <v>25000000</v>
      </c>
      <c r="AB34" s="59">
        <f t="shared" si="23"/>
        <v>0.03</v>
      </c>
      <c r="AC34" s="57">
        <f>Volatilities_Resets!$E23*0.01</f>
        <v>2.9600100000000001E-2</v>
      </c>
      <c r="AD34" s="61">
        <f>IF(AB34=AE$11,Volatilities_Resets!$AA23,IF(AB34&gt;=AD$11,IF(AB34&lt;AE$11,(((Volatilities_Resets!$AA23-Volatilities_Resets!$Y23)/50)*((Calculator!AB34-Calculator!AD$11)*10000)+Volatilities_Resets!$Y23)),IF(AB34&gt;=AD$10,IF(AB34&lt;AE$10,(((Volatilities_Resets!$Y23-Volatilities_Resets!$W23)/50)*((Calculator!AB34-Calculator!AD$10)*10000)+Volatilities_Resets!$W23)),IF(AB34&gt;=AD$9,IF(AB34&lt;AE$9,(((Volatilities_Resets!$W23-Volatilities_Resets!$U23)/50)*((Calculator!AB34-Calculator!AD$9)*10000)+Volatilities_Resets!$U23)),IF(AB34&gt;=AD$8,IF(AB34&lt;AE$8,(((Volatilities_Resets!$U23-Volatilities_Resets!$S23)/50)*((Calculator!AB34-Calculator!AD$8)*10000)+Volatilities_Resets!$S23)),IF(AB34&gt;=AD$7,IF(AB34&lt;AE$7,(((Volatilities_Resets!$S23-Volatilities_Resets!$Q23)/50)*((Calculator!AB34-Calculator!AD$7)*10000)+Volatilities_Resets!$Q23)),IF(AB34&gt;=AD$6,IF(AB34&lt;AE$6,(((Volatilities_Resets!$Q23-Volatilities_Resets!$O23)/50)*((Calculator!AB34-Calculator!AD$6)*10000)+Volatilities_Resets!$O23)),IF(AB34&gt;=AD$5,IF(AB34&lt;AE$5,(((Volatilities_Resets!$O23-Volatilities_Resets!$M23)/50)*((Calculator!AB34-Calculator!AD$5)*10000)+Volatilities_Resets!$M23)),IF(AB34&gt;=AD$4,IF(AB34&lt;AE$4,(((Volatilities_Resets!$M23-Volatilities_Resets!$K23)/50)*((Calculator!AB34-Calculator!AD$4)*10000)+Volatilities_Resets!$K23)),IF(AB34&gt;=AD$3,IF(AB34&lt;AE$3,(((Volatilities_Resets!$K23-Volatilities_Resets!$I23)/50)*((Calculator!AB34-Calculator!AD$3)*10000)+Volatilities_Resets!$I23)),IF(AB34&gt;=AD$2,IF(AB34&lt;AE$2,(((Volatilities_Resets!$I23-Volatilities_Resets!$G23)/50)*((Calculator!AB34-Calculator!AD$2)*10000)+Volatilities_Resets!$G23)),"Well, something broke...")))))))))))/10000</f>
        <v>2.1082E-2</v>
      </c>
      <c r="AE34" s="63">
        <f t="shared" ca="1" si="24"/>
        <v>21635.664148782686</v>
      </c>
      <c r="AF34" s="63">
        <f t="shared" ca="1" si="25"/>
        <v>8.6960702707991687E-4</v>
      </c>
      <c r="AG34" s="63">
        <f t="shared" ca="1" si="45"/>
        <v>619872.95613321499</v>
      </c>
      <c r="AJ34" s="63">
        <f t="shared" ca="1" si="26"/>
        <v>97.632765823983107</v>
      </c>
      <c r="AK34" s="63">
        <f ca="1">SUM($AJ$15:AJ34)</f>
        <v>1197.8400169622487</v>
      </c>
      <c r="AM34" s="52">
        <f ca="1">EXP(-AVERAGE(AC$15:AC34)*Z34)</f>
        <v>0.93418178349581404</v>
      </c>
      <c r="AO34" s="52">
        <f t="shared" ca="1" si="27"/>
        <v>20</v>
      </c>
      <c r="AP34" s="71">
        <f t="shared" ca="1" si="28"/>
        <v>45588</v>
      </c>
      <c r="AQ34" s="71">
        <f t="shared" ca="1" si="5"/>
        <v>45619</v>
      </c>
      <c r="AR34" s="72">
        <f t="shared" ca="1" si="6"/>
        <v>31</v>
      </c>
      <c r="AS34" s="73">
        <f ca="1">SUM(AR$15:AR34)/360</f>
        <v>1.6972222222222222</v>
      </c>
      <c r="AT34" s="74">
        <f t="shared" si="7"/>
        <v>25000000</v>
      </c>
      <c r="AU34" s="59">
        <f t="shared" si="29"/>
        <v>0.04</v>
      </c>
      <c r="AV34" s="57">
        <f>Volatilities_Resets!$E23*0.01</f>
        <v>2.9600100000000001E-2</v>
      </c>
      <c r="AW34" s="61">
        <f>IF(AU34=AX$11,Volatilities_Resets!$AA23,IF(AU34&gt;=AW$11,IF(AU34&lt;AX$11,(((Volatilities_Resets!$AA23-Volatilities_Resets!$Y23)/50)*((Calculator!AU34-Calculator!AW$11)*10000)+Volatilities_Resets!$Y23)),IF(AU34&gt;=AW$10,IF(AU34&lt;AX$10,(((Volatilities_Resets!$Y23-Volatilities_Resets!$W23)/50)*((Calculator!AU34-Calculator!AW$10)*10000)+Volatilities_Resets!$W23)),IF(AU34&gt;=AW$9,IF(AU34&lt;AX$9,(((Volatilities_Resets!$W23-Volatilities_Resets!$U23)/50)*((Calculator!AU34-Calculator!AW$9)*10000)+Volatilities_Resets!$U23)),IF(AU34&gt;=AW$8,IF(AU34&lt;AX$8,(((Volatilities_Resets!$U23-Volatilities_Resets!$S23)/50)*((Calculator!AU34-Calculator!AW$8)*10000)+Volatilities_Resets!$S23)),IF(AU34&gt;=AW$7,IF(AU34&lt;AX$7,(((Volatilities_Resets!$S23-Volatilities_Resets!$Q23)/50)*((Calculator!AU34-Calculator!AW$7)*10000)+Volatilities_Resets!$Q23)),IF(AU34&gt;=AW$6,IF(AU34&lt;AX$6,(((Volatilities_Resets!$Q23-Volatilities_Resets!$O23)/50)*((Calculator!AU34-Calculator!AW$6)*10000)+Volatilities_Resets!$O23)),IF(AU34&gt;=AW$5,IF(AU34&lt;AX$5,(((Volatilities_Resets!$O23-Volatilities_Resets!$M23)/50)*((Calculator!AU34-Calculator!AW$5)*10000)+Volatilities_Resets!$M23)),IF(AU34&gt;=AW$4,IF(AU34&lt;AX$4,(((Volatilities_Resets!$M23-Volatilities_Resets!$K23)/50)*((Calculator!AU34-Calculator!AW$4)*10000)+Volatilities_Resets!$K23)),IF(AU34&gt;=AW$3,IF(AU34&lt;AX$3,(((Volatilities_Resets!$K23-Volatilities_Resets!$I23)/50)*((Calculator!AU34-Calculator!AW$3)*10000)+Volatilities_Resets!$I23)),IF(AU34&gt;=AW$2,IF(AU34&lt;AX$2,(((Volatilities_Resets!$I23-Volatilities_Resets!$G23)/50)*((Calculator!AU34-Calculator!AW$2)*10000)+Volatilities_Resets!$G23)),"Well, something broke...")))))))))))/10000</f>
        <v>2.0806000000000002E-2</v>
      </c>
      <c r="AX34" s="63">
        <f t="shared" ca="1" si="30"/>
        <v>12870.769741108836</v>
      </c>
      <c r="AY34" s="63">
        <f t="shared" ca="1" si="31"/>
        <v>5.1871637363765349E-4</v>
      </c>
      <c r="AZ34" s="63">
        <f t="shared" ca="1" si="46"/>
        <v>345106.27623075381</v>
      </c>
      <c r="BC34" s="63">
        <f t="shared" ca="1" si="8"/>
        <v>90.746044619595196</v>
      </c>
      <c r="BD34" s="63">
        <f ca="1">SUM($BC$15:BC34)</f>
        <v>1312.6932384866423</v>
      </c>
      <c r="BF34" s="52">
        <f ca="1">EXP(-AVERAGE(AV$15:AV34)*AS34)</f>
        <v>0.93418178349581404</v>
      </c>
      <c r="BH34" s="52">
        <f t="shared" ca="1" si="32"/>
        <v>20</v>
      </c>
      <c r="BI34" s="71">
        <f t="shared" ca="1" si="33"/>
        <v>45588</v>
      </c>
      <c r="BJ34" s="71">
        <f t="shared" ca="1" si="9"/>
        <v>45619</v>
      </c>
      <c r="BK34" s="72">
        <f t="shared" ca="1" si="10"/>
        <v>31</v>
      </c>
      <c r="BL34" s="73">
        <f ca="1">SUM(BK$15:BK34)/360</f>
        <v>1.6972222222222222</v>
      </c>
      <c r="BM34" s="74">
        <f t="shared" si="11"/>
        <v>25000000</v>
      </c>
      <c r="BN34" s="59">
        <f t="shared" si="34"/>
        <v>0.05</v>
      </c>
      <c r="BO34" s="57">
        <f>Volatilities_Resets!$E23*0.01</f>
        <v>2.9600100000000001E-2</v>
      </c>
      <c r="BP34" s="61">
        <f>IF(BN34=BQ$11,Volatilities_Resets!$AA23,IF(BN34&gt;=BP$11,IF(BN34&lt;BQ$11,(((Volatilities_Resets!$AA23-Volatilities_Resets!$Y23)/50)*((Calculator!BN34-Calculator!BP$11)*10000)+Volatilities_Resets!$Y23)),IF(BN34&gt;=BP$10,IF(BN34&lt;BQ$10,(((Volatilities_Resets!$Y23-Volatilities_Resets!$W23)/50)*((Calculator!BN34-Calculator!BP$10)*10000)+Volatilities_Resets!$W23)),IF(BN34&gt;=BP$9,IF(BN34&lt;BQ$9,(((Volatilities_Resets!$W23-Volatilities_Resets!$U23)/50)*((Calculator!BN34-Calculator!BP$9)*10000)+Volatilities_Resets!$U23)),IF(BN34&gt;=BP$8,IF(BN34&lt;BQ$8,(((Volatilities_Resets!$U23-Volatilities_Resets!$S23)/50)*((Calculator!BN34-Calculator!BP$8)*10000)+Volatilities_Resets!$S23)),IF(BN34&gt;=BP$7,IF(BN34&lt;BQ$7,(((Volatilities_Resets!$S23-Volatilities_Resets!$Q23)/50)*((Calculator!BN34-Calculator!BP$7)*10000)+Volatilities_Resets!$Q23)),IF(BN34&gt;=BP$6,IF(BN34&lt;BQ$6,(((Volatilities_Resets!$Q23-Volatilities_Resets!$O23)/50)*((Calculator!BN34-Calculator!BP$6)*10000)+Volatilities_Resets!$O23)),IF(BN34&gt;=BP$5,IF(BN34&lt;BQ$5,(((Volatilities_Resets!$O23-Volatilities_Resets!$M23)/50)*((Calculator!BN34-Calculator!BP$5)*10000)+Volatilities_Resets!$M23)),IF(BN34&gt;=BP$4,IF(BN34&lt;BQ$4,(((Volatilities_Resets!$M23-Volatilities_Resets!$K23)/50)*((Calculator!BN34-Calculator!BP$4)*10000)+Volatilities_Resets!$K23)),IF(BN34&gt;=BP$3,IF(BN34&lt;BQ$3,(((Volatilities_Resets!$K23-Volatilities_Resets!$I23)/50)*((Calculator!BN34-Calculator!BP$3)*10000)+Volatilities_Resets!$I23)),IF(BN34&gt;=BP$2,IF(BN34&lt;BQ$2,(((Volatilities_Resets!$I23-Volatilities_Resets!$G23)/50)*((Calculator!BN34-Calculator!BP$2)*10000)+Volatilities_Resets!$G23)),"Well, something broke...")))))))))))/10000</f>
        <v>2.0596E-2</v>
      </c>
      <c r="BQ34" s="63">
        <f t="shared" ca="1" si="35"/>
        <v>6953.0383023702025</v>
      </c>
      <c r="BR34" s="63">
        <f t="shared" ca="1" si="36"/>
        <v>2.8125740649464934E-4</v>
      </c>
      <c r="BS34" s="63">
        <f t="shared" ca="1" si="47"/>
        <v>144885.00445796893</v>
      </c>
      <c r="BV34" s="63">
        <f t="shared" ca="1" si="37"/>
        <v>73.236918491564026</v>
      </c>
      <c r="BW34" s="63">
        <f ca="1">SUM($BV$15:BV34)</f>
        <v>1192.7886064777899</v>
      </c>
      <c r="BY34" s="52">
        <f ca="1">EXP(-AVERAGE(BO$15:BO34)*BL34)</f>
        <v>0.93418178349581404</v>
      </c>
      <c r="CA34" s="52">
        <f t="shared" ca="1" si="38"/>
        <v>20</v>
      </c>
      <c r="CB34" s="71">
        <f t="shared" ca="1" si="39"/>
        <v>45588</v>
      </c>
      <c r="CC34" s="71">
        <f t="shared" ca="1" si="12"/>
        <v>45619</v>
      </c>
      <c r="CD34" s="72">
        <f t="shared" ca="1" si="13"/>
        <v>31</v>
      </c>
      <c r="CE34" s="73">
        <f ca="1">SUM(CD$15:CD34)/360</f>
        <v>1.6972222222222222</v>
      </c>
      <c r="CF34" s="74">
        <f t="shared" si="14"/>
        <v>25000000</v>
      </c>
      <c r="CG34" s="59">
        <f t="shared" si="40"/>
        <v>0.06</v>
      </c>
      <c r="CH34" s="57">
        <f>Volatilities_Resets!$E23*0.01</f>
        <v>2.9600100000000001E-2</v>
      </c>
      <c r="CI34" s="61">
        <f>IF(CG34=CJ$11,Volatilities_Resets!$AA23,IF(CG34&gt;=CI$11,IF(CG34&lt;CJ$11,(((Volatilities_Resets!$AA23-Volatilities_Resets!$Y23)/50)*((Calculator!CG34-Calculator!CI$11)*10000)+Volatilities_Resets!$Y23)),IF(CG34&gt;=CI$10,IF(CG34&lt;CJ$10,(((Volatilities_Resets!$Y23-Volatilities_Resets!$W23)/50)*((Calculator!CG34-Calculator!CI$10)*10000)+Volatilities_Resets!$W23)),IF(CG34&gt;=CI$9,IF(CG34&lt;CJ$9,(((Volatilities_Resets!$W23-Volatilities_Resets!$U23)/50)*((Calculator!CG34-Calculator!CI$9)*10000)+Volatilities_Resets!$U23)),IF(CG34&gt;=CI$8,IF(CG34&lt;CJ$8,(((Volatilities_Resets!$U23-Volatilities_Resets!$S23)/50)*((Calculator!CG34-Calculator!CI$8)*10000)+Volatilities_Resets!$S23)),IF(CG34&gt;=CI$7,IF(CG34&lt;CJ$7,(((Volatilities_Resets!$S23-Volatilities_Resets!$Q23)/50)*((Calculator!CG34-Calculator!CI$7)*10000)+Volatilities_Resets!$Q23)),IF(CG34&gt;=CI$6,IF(CG34&lt;CJ$6,(((Volatilities_Resets!$Q23-Volatilities_Resets!$O23)/50)*((Calculator!CG34-Calculator!CI$6)*10000)+Volatilities_Resets!$O23)),IF(CG34&gt;=CI$5,IF(CG34&lt;CJ$5,(((Volatilities_Resets!$O23-Volatilities_Resets!$M23)/50)*((Calculator!CG34-Calculator!CI$5)*10000)+Volatilities_Resets!$M23)),IF(CG34&gt;=CI$4,IF(CG34&lt;CJ$4,(((Volatilities_Resets!$M23-Volatilities_Resets!$K23)/50)*((Calculator!CG34-Calculator!CI$4)*10000)+Volatilities_Resets!$K23)),IF(CG34&gt;=CI$3,IF(CG34&lt;CJ$3,(((Volatilities_Resets!$K23-Volatilities_Resets!$I23)/50)*((Calculator!CG34-Calculator!CI$3)*10000)+Volatilities_Resets!$I23)),IF(CG34&gt;=CI$2,IF(CG34&lt;CJ$2,(((Volatilities_Resets!$I23-Volatilities_Resets!$G23)/50)*((Calculator!CG34-Calculator!CI$2)*10000)+Volatilities_Resets!$G23)),"Well, something broke...")))))))))))/10000</f>
        <v>2.1593000000000001E-2</v>
      </c>
      <c r="CJ34" s="63">
        <f t="shared" ca="1" si="41"/>
        <v>4032.78805127539</v>
      </c>
      <c r="CK34" s="63">
        <f t="shared" ca="1" si="42"/>
        <v>1.6364954335980277E-4</v>
      </c>
      <c r="CL34" s="63">
        <f t="shared" ca="1" si="48"/>
        <v>52589.773062080232</v>
      </c>
      <c r="CO34" s="63">
        <f t="shared" ca="1" si="43"/>
        <v>54.603422902350552</v>
      </c>
      <c r="CP34" s="63">
        <f ca="1">SUM($CO$15:CO34)</f>
        <v>766.63642099565504</v>
      </c>
      <c r="CR34" s="52">
        <f ca="1">EXP(-AVERAGE(CH$15:CH34)*CE34)</f>
        <v>0.93418178349581404</v>
      </c>
      <c r="CT34"/>
      <c r="CU34"/>
      <c r="CV34"/>
      <c r="CW34"/>
      <c r="CX34"/>
      <c r="CY34"/>
      <c r="CZ34"/>
      <c r="DA34"/>
      <c r="DB34"/>
      <c r="DC34"/>
      <c r="DD34"/>
      <c r="DE34"/>
      <c r="DF34"/>
      <c r="DG34"/>
      <c r="DH34"/>
      <c r="DI34"/>
      <c r="DJ34"/>
      <c r="DK34"/>
      <c r="DL34"/>
    </row>
    <row r="35" spans="2:116" ht="15.75" customHeight="1">
      <c r="B35" s="52">
        <v>2</v>
      </c>
      <c r="C35" s="52">
        <f t="shared" ca="1" si="15"/>
        <v>21</v>
      </c>
      <c r="D35" s="71">
        <f t="shared" ca="1" si="16"/>
        <v>45619</v>
      </c>
      <c r="E35" s="71">
        <f t="shared" ca="1" si="0"/>
        <v>45649</v>
      </c>
      <c r="F35" s="72">
        <f t="shared" ca="1" si="1"/>
        <v>30</v>
      </c>
      <c r="G35" s="73">
        <f ca="1">SUM($F$15:F35)/360</f>
        <v>1.7805555555555554</v>
      </c>
      <c r="H35" s="74">
        <f t="shared" si="2"/>
        <v>25000000</v>
      </c>
      <c r="I35" s="59">
        <f>IF('Cap Pricer'!$E$22=DataValidation!$C$2,'Cap Pricer'!$E$23,IF('Cap Pricer'!$E$22=DataValidation!$C$3,VLOOKUP($B35,'Cap Pricer'!$C$25:$E$31,3),""))</f>
        <v>0.02</v>
      </c>
      <c r="J35" s="57">
        <f>Volatilities_Resets!$E24*0.01</f>
        <v>2.9598900000000001E-2</v>
      </c>
      <c r="K35" s="61">
        <f>IF(I35=L$11,Volatilities_Resets!$AA24,IF(I35&gt;=K$11,IF(I35&lt;L$11,(((Volatilities_Resets!$AA24-Volatilities_Resets!$Y24)/50)*((Calculator!I35-Calculator!K$11)*10000)+Volatilities_Resets!$Y24)),IF(I35&gt;=K$10,IF(I35&lt;L$10,(((Volatilities_Resets!$Y24-Volatilities_Resets!$W24)/50)*((Calculator!I35-Calculator!K$10)*10000)+Volatilities_Resets!$W24)),IF(I35&gt;=K$9,IF(I35&lt;L$9,(((Volatilities_Resets!$W24-Volatilities_Resets!$U24)/50)*((Calculator!I35-Calculator!K$9)*10000)+Volatilities_Resets!$U24)),IF(I35&gt;=K$8,IF(I35&lt;L$8,(((Volatilities_Resets!$U24-Volatilities_Resets!$S24)/50)*((Calculator!I35-Calculator!K$8)*10000)+Volatilities_Resets!$S24)),IF(I35&gt;=K$7,IF(I35&lt;L$7,(((Volatilities_Resets!$S24-Volatilities_Resets!$Q24)/50)*((Calculator!I35-Calculator!K$7)*10000)+Volatilities_Resets!$Q24)),IF(I35&gt;=K$6,IF(I35&lt;L$6,(((Volatilities_Resets!$Q24-Volatilities_Resets!$O24)/50)*((Calculator!I35-Calculator!K$6)*10000)+Volatilities_Resets!$O24)),IF(I35&gt;=K$5,IF(I35&lt;L$5,(((Volatilities_Resets!$O24-Volatilities_Resets!$M24)/50)*((Calculator!I35-Calculator!K$5)*10000)+Volatilities_Resets!$M24)),IF(I35&gt;=K$4,IF(I35&lt;L$4,(((Volatilities_Resets!$M24-Volatilities_Resets!$K24)/50)*((Calculator!I35-Calculator!K$4)*10000)+Volatilities_Resets!$K24)),IF(I35&gt;=K$3,IF(I35&lt;L$3,(((Volatilities_Resets!$K24-Volatilities_Resets!$I24)/50)*((Calculator!I35-Calculator!K$3)*10000)+Volatilities_Resets!$I24)),IF(I35&gt;=K$2,IF(I35&lt;L$2,(((Volatilities_Resets!$I24-Volatilities_Resets!$G24)/50)*((Calculator!I35-Calculator!K$2)*10000)+Volatilities_Resets!$G24)),"Well, something broke...")))))))))))/10000</f>
        <v>2.0871999999999998E-2</v>
      </c>
      <c r="L35" s="47">
        <f t="shared" ca="1" si="17"/>
        <v>32157.873472269737</v>
      </c>
      <c r="M35" s="63">
        <f t="shared" ca="1" si="18"/>
        <v>1.290211690325727E-3</v>
      </c>
      <c r="N35" s="63">
        <f t="shared" ca="1" si="44"/>
        <v>969050.05981098686</v>
      </c>
      <c r="Q35" s="63">
        <f t="shared" ca="1" si="19"/>
        <v>90.784045621662514</v>
      </c>
      <c r="R35" s="63">
        <f ca="1">SUM($Q$15:Q35)</f>
        <v>1056.7991823026462</v>
      </c>
      <c r="T35" s="52">
        <f ca="1">EXP(-AVERAGE(J$15:J35)*G35)</f>
        <v>0.93189465263513027</v>
      </c>
      <c r="U35" s="57"/>
      <c r="V35" s="52">
        <f t="shared" ca="1" si="20"/>
        <v>21</v>
      </c>
      <c r="W35" s="71">
        <f t="shared" ca="1" si="21"/>
        <v>45619</v>
      </c>
      <c r="X35" s="71">
        <f t="shared" ca="1" si="3"/>
        <v>45649</v>
      </c>
      <c r="Y35" s="72">
        <f t="shared" ca="1" si="4"/>
        <v>30</v>
      </c>
      <c r="Z35" s="73">
        <f ca="1">SUM(Y$15:Y35)/360</f>
        <v>1.7805555555555554</v>
      </c>
      <c r="AA35" s="74">
        <f t="shared" si="22"/>
        <v>25000000</v>
      </c>
      <c r="AB35" s="59">
        <f t="shared" si="23"/>
        <v>0.03</v>
      </c>
      <c r="AC35" s="57">
        <f>Volatilities_Resets!$E24*0.01</f>
        <v>2.9598900000000001E-2</v>
      </c>
      <c r="AD35" s="61">
        <f>IF(AB35=AE$11,Volatilities_Resets!$AA24,IF(AB35&gt;=AD$11,IF(AB35&lt;AE$11,(((Volatilities_Resets!$AA24-Volatilities_Resets!$Y24)/50)*((Calculator!AB35-Calculator!AD$11)*10000)+Volatilities_Resets!$Y24)),IF(AB35&gt;=AD$10,IF(AB35&lt;AE$10,(((Volatilities_Resets!$Y24-Volatilities_Resets!$W24)/50)*((Calculator!AB35-Calculator!AD$10)*10000)+Volatilities_Resets!$W24)),IF(AB35&gt;=AD$9,IF(AB35&lt;AE$9,(((Volatilities_Resets!$W24-Volatilities_Resets!$U24)/50)*((Calculator!AB35-Calculator!AD$9)*10000)+Volatilities_Resets!$U24)),IF(AB35&gt;=AD$8,IF(AB35&lt;AE$8,(((Volatilities_Resets!$U24-Volatilities_Resets!$S24)/50)*((Calculator!AB35-Calculator!AD$8)*10000)+Volatilities_Resets!$S24)),IF(AB35&gt;=AD$7,IF(AB35&lt;AE$7,(((Volatilities_Resets!$S24-Volatilities_Resets!$Q24)/50)*((Calculator!AB35-Calculator!AD$7)*10000)+Volatilities_Resets!$Q24)),IF(AB35&gt;=AD$6,IF(AB35&lt;AE$6,(((Volatilities_Resets!$Q24-Volatilities_Resets!$O24)/50)*((Calculator!AB35-Calculator!AD$6)*10000)+Volatilities_Resets!$O24)),IF(AB35&gt;=AD$5,IF(AB35&lt;AE$5,(((Volatilities_Resets!$O24-Volatilities_Resets!$M24)/50)*((Calculator!AB35-Calculator!AD$5)*10000)+Volatilities_Resets!$M24)),IF(AB35&gt;=AD$4,IF(AB35&lt;AE$4,(((Volatilities_Resets!$M24-Volatilities_Resets!$K24)/50)*((Calculator!AB35-Calculator!AD$4)*10000)+Volatilities_Resets!$K24)),IF(AB35&gt;=AD$3,IF(AB35&lt;AE$3,(((Volatilities_Resets!$K24-Volatilities_Resets!$I24)/50)*((Calculator!AB35-Calculator!AD$3)*10000)+Volatilities_Resets!$I24)),IF(AB35&gt;=AD$2,IF(AB35&lt;AE$2,(((Volatilities_Resets!$I24-Volatilities_Resets!$G24)/50)*((Calculator!AB35-Calculator!AD$2)*10000)+Volatilities_Resets!$G24)),"Well, something broke...")))))))))))/10000</f>
        <v>2.1094999999999999E-2</v>
      </c>
      <c r="AE35" s="63">
        <f t="shared" ca="1" si="24"/>
        <v>21414.685761020461</v>
      </c>
      <c r="AF35" s="63">
        <f t="shared" ca="1" si="25"/>
        <v>8.6072104065188838E-4</v>
      </c>
      <c r="AG35" s="63">
        <f t="shared" ca="1" si="45"/>
        <v>641287.64189423551</v>
      </c>
      <c r="AJ35" s="63">
        <f t="shared" ca="1" si="26"/>
        <v>96.302231294351614</v>
      </c>
      <c r="AK35" s="63">
        <f ca="1">SUM($AJ$15:AJ35)</f>
        <v>1294.1422482566004</v>
      </c>
      <c r="AM35" s="52">
        <f ca="1">EXP(-AVERAGE(AC$15:AC35)*Z35)</f>
        <v>0.93189465263513027</v>
      </c>
      <c r="AO35" s="52">
        <f t="shared" ca="1" si="27"/>
        <v>21</v>
      </c>
      <c r="AP35" s="71">
        <f t="shared" ca="1" si="28"/>
        <v>45619</v>
      </c>
      <c r="AQ35" s="71">
        <f t="shared" ca="1" si="5"/>
        <v>45649</v>
      </c>
      <c r="AR35" s="72">
        <f t="shared" ca="1" si="6"/>
        <v>30</v>
      </c>
      <c r="AS35" s="73">
        <f ca="1">SUM(AR$15:AR35)/360</f>
        <v>1.7805555555555554</v>
      </c>
      <c r="AT35" s="74">
        <f t="shared" si="7"/>
        <v>25000000</v>
      </c>
      <c r="AU35" s="59">
        <f t="shared" si="29"/>
        <v>0.04</v>
      </c>
      <c r="AV35" s="57">
        <f>Volatilities_Resets!$E24*0.01</f>
        <v>2.9598900000000001E-2</v>
      </c>
      <c r="AW35" s="61">
        <f>IF(AU35=AX$11,Volatilities_Resets!$AA24,IF(AU35&gt;=AW$11,IF(AU35&lt;AX$11,(((Volatilities_Resets!$AA24-Volatilities_Resets!$Y24)/50)*((Calculator!AU35-Calculator!AW$11)*10000)+Volatilities_Resets!$Y24)),IF(AU35&gt;=AW$10,IF(AU35&lt;AX$10,(((Volatilities_Resets!$Y24-Volatilities_Resets!$W24)/50)*((Calculator!AU35-Calculator!AW$10)*10000)+Volatilities_Resets!$W24)),IF(AU35&gt;=AW$9,IF(AU35&lt;AX$9,(((Volatilities_Resets!$W24-Volatilities_Resets!$U24)/50)*((Calculator!AU35-Calculator!AW$9)*10000)+Volatilities_Resets!$U24)),IF(AU35&gt;=AW$8,IF(AU35&lt;AX$8,(((Volatilities_Resets!$U24-Volatilities_Resets!$S24)/50)*((Calculator!AU35-Calculator!AW$8)*10000)+Volatilities_Resets!$S24)),IF(AU35&gt;=AW$7,IF(AU35&lt;AX$7,(((Volatilities_Resets!$S24-Volatilities_Resets!$Q24)/50)*((Calculator!AU35-Calculator!AW$7)*10000)+Volatilities_Resets!$Q24)),IF(AU35&gt;=AW$6,IF(AU35&lt;AX$6,(((Volatilities_Resets!$Q24-Volatilities_Resets!$O24)/50)*((Calculator!AU35-Calculator!AW$6)*10000)+Volatilities_Resets!$O24)),IF(AU35&gt;=AW$5,IF(AU35&lt;AX$5,(((Volatilities_Resets!$O24-Volatilities_Resets!$M24)/50)*((Calculator!AU35-Calculator!AW$5)*10000)+Volatilities_Resets!$M24)),IF(AU35&gt;=AW$4,IF(AU35&lt;AX$4,(((Volatilities_Resets!$M24-Volatilities_Resets!$K24)/50)*((Calculator!AU35-Calculator!AW$4)*10000)+Volatilities_Resets!$K24)),IF(AU35&gt;=AW$3,IF(AU35&lt;AX$3,(((Volatilities_Resets!$K24-Volatilities_Resets!$I24)/50)*((Calculator!AU35-Calculator!AW$3)*10000)+Volatilities_Resets!$I24)),IF(AU35&gt;=AW$2,IF(AU35&lt;AX$2,(((Volatilities_Resets!$I24-Volatilities_Resets!$G24)/50)*((Calculator!AU35-Calculator!AW$2)*10000)+Volatilities_Resets!$G24)),"Well, something broke...")))))))))))/10000</f>
        <v>2.0826000000000001E-2</v>
      </c>
      <c r="AX35" s="63">
        <f t="shared" ca="1" si="30"/>
        <v>12917.448164882886</v>
      </c>
      <c r="AY35" s="63">
        <f t="shared" ca="1" si="31"/>
        <v>5.2055359547246874E-4</v>
      </c>
      <c r="AZ35" s="63">
        <f t="shared" ca="1" si="46"/>
        <v>358023.7243956367</v>
      </c>
      <c r="BC35" s="63">
        <f t="shared" ca="1" si="8"/>
        <v>89.826930223771427</v>
      </c>
      <c r="BD35" s="63">
        <f ca="1">SUM($BC$15:BC35)</f>
        <v>1402.5201687104136</v>
      </c>
      <c r="BF35" s="52">
        <f ca="1">EXP(-AVERAGE(AV$15:AV35)*AS35)</f>
        <v>0.93189465263513027</v>
      </c>
      <c r="BH35" s="52">
        <f t="shared" ca="1" si="32"/>
        <v>21</v>
      </c>
      <c r="BI35" s="71">
        <f t="shared" ca="1" si="33"/>
        <v>45619</v>
      </c>
      <c r="BJ35" s="71">
        <f t="shared" ca="1" si="9"/>
        <v>45649</v>
      </c>
      <c r="BK35" s="72">
        <f t="shared" ca="1" si="10"/>
        <v>30</v>
      </c>
      <c r="BL35" s="73">
        <f ca="1">SUM(BK$15:BK35)/360</f>
        <v>1.7805555555555554</v>
      </c>
      <c r="BM35" s="74">
        <f t="shared" si="11"/>
        <v>25000000</v>
      </c>
      <c r="BN35" s="59">
        <f t="shared" si="34"/>
        <v>0.05</v>
      </c>
      <c r="BO35" s="57">
        <f>Volatilities_Resets!$E24*0.01</f>
        <v>2.9598900000000001E-2</v>
      </c>
      <c r="BP35" s="61">
        <f>IF(BN35=BQ$11,Volatilities_Resets!$AA24,IF(BN35&gt;=BP$11,IF(BN35&lt;BQ$11,(((Volatilities_Resets!$AA24-Volatilities_Resets!$Y24)/50)*((Calculator!BN35-Calculator!BP$11)*10000)+Volatilities_Resets!$Y24)),IF(BN35&gt;=BP$10,IF(BN35&lt;BQ$10,(((Volatilities_Resets!$Y24-Volatilities_Resets!$W24)/50)*((Calculator!BN35-Calculator!BP$10)*10000)+Volatilities_Resets!$W24)),IF(BN35&gt;=BP$9,IF(BN35&lt;BQ$9,(((Volatilities_Resets!$W24-Volatilities_Resets!$U24)/50)*((Calculator!BN35-Calculator!BP$9)*10000)+Volatilities_Resets!$U24)),IF(BN35&gt;=BP$8,IF(BN35&lt;BQ$8,(((Volatilities_Resets!$U24-Volatilities_Resets!$S24)/50)*((Calculator!BN35-Calculator!BP$8)*10000)+Volatilities_Resets!$S24)),IF(BN35&gt;=BP$7,IF(BN35&lt;BQ$7,(((Volatilities_Resets!$S24-Volatilities_Resets!$Q24)/50)*((Calculator!BN35-Calculator!BP$7)*10000)+Volatilities_Resets!$Q24)),IF(BN35&gt;=BP$6,IF(BN35&lt;BQ$6,(((Volatilities_Resets!$Q24-Volatilities_Resets!$O24)/50)*((Calculator!BN35-Calculator!BP$6)*10000)+Volatilities_Resets!$O24)),IF(BN35&gt;=BP$5,IF(BN35&lt;BQ$5,(((Volatilities_Resets!$O24-Volatilities_Resets!$M24)/50)*((Calculator!BN35-Calculator!BP$5)*10000)+Volatilities_Resets!$M24)),IF(BN35&gt;=BP$4,IF(BN35&lt;BQ$4,(((Volatilities_Resets!$M24-Volatilities_Resets!$K24)/50)*((Calculator!BN35-Calculator!BP$4)*10000)+Volatilities_Resets!$K24)),IF(BN35&gt;=BP$3,IF(BN35&lt;BQ$3,(((Volatilities_Resets!$K24-Volatilities_Resets!$I24)/50)*((Calculator!BN35-Calculator!BP$3)*10000)+Volatilities_Resets!$I24)),IF(BN35&gt;=BP$2,IF(BN35&lt;BQ$2,(((Volatilities_Resets!$I24-Volatilities_Resets!$G24)/50)*((Calculator!BN35-Calculator!BP$2)*10000)+Volatilities_Resets!$G24)),"Well, something broke...")))))))))))/10000</f>
        <v>2.0622000000000001E-2</v>
      </c>
      <c r="BQ35" s="63">
        <f t="shared" ca="1" si="35"/>
        <v>7112.3012486245398</v>
      </c>
      <c r="BR35" s="63">
        <f t="shared" ca="1" si="36"/>
        <v>2.8763685320052924E-4</v>
      </c>
      <c r="BS35" s="63">
        <f t="shared" ca="1" si="47"/>
        <v>151997.30570659347</v>
      </c>
      <c r="BV35" s="63">
        <f t="shared" ca="1" si="37"/>
        <v>73.265633435859954</v>
      </c>
      <c r="BW35" s="63">
        <f ca="1">SUM($BV$15:BV35)</f>
        <v>1266.0542399136498</v>
      </c>
      <c r="BY35" s="52">
        <f ca="1">EXP(-AVERAGE(BO$15:BO35)*BL35)</f>
        <v>0.93189465263513027</v>
      </c>
      <c r="CA35" s="52">
        <f t="shared" ca="1" si="38"/>
        <v>21</v>
      </c>
      <c r="CB35" s="71">
        <f t="shared" ca="1" si="39"/>
        <v>45619</v>
      </c>
      <c r="CC35" s="71">
        <f t="shared" ca="1" si="12"/>
        <v>45649</v>
      </c>
      <c r="CD35" s="72">
        <f t="shared" ca="1" si="13"/>
        <v>30</v>
      </c>
      <c r="CE35" s="73">
        <f ca="1">SUM(CD$15:CD35)/360</f>
        <v>1.7805555555555554</v>
      </c>
      <c r="CF35" s="74">
        <f t="shared" si="14"/>
        <v>25000000</v>
      </c>
      <c r="CG35" s="59">
        <f t="shared" si="40"/>
        <v>0.06</v>
      </c>
      <c r="CH35" s="57">
        <f>Volatilities_Resets!$E24*0.01</f>
        <v>2.9598900000000001E-2</v>
      </c>
      <c r="CI35" s="61">
        <f>IF(CG35=CJ$11,Volatilities_Resets!$AA24,IF(CG35&gt;=CI$11,IF(CG35&lt;CJ$11,(((Volatilities_Resets!$AA24-Volatilities_Resets!$Y24)/50)*((Calculator!CG35-Calculator!CI$11)*10000)+Volatilities_Resets!$Y24)),IF(CG35&gt;=CI$10,IF(CG35&lt;CJ$10,(((Volatilities_Resets!$Y24-Volatilities_Resets!$W24)/50)*((Calculator!CG35-Calculator!CI$10)*10000)+Volatilities_Resets!$W24)),IF(CG35&gt;=CI$9,IF(CG35&lt;CJ$9,(((Volatilities_Resets!$W24-Volatilities_Resets!$U24)/50)*((Calculator!CG35-Calculator!CI$9)*10000)+Volatilities_Resets!$U24)),IF(CG35&gt;=CI$8,IF(CG35&lt;CJ$8,(((Volatilities_Resets!$U24-Volatilities_Resets!$S24)/50)*((Calculator!CG35-Calculator!CI$8)*10000)+Volatilities_Resets!$S24)),IF(CG35&gt;=CI$7,IF(CG35&lt;CJ$7,(((Volatilities_Resets!$S24-Volatilities_Resets!$Q24)/50)*((Calculator!CG35-Calculator!CI$7)*10000)+Volatilities_Resets!$Q24)),IF(CG35&gt;=CI$6,IF(CG35&lt;CJ$6,(((Volatilities_Resets!$Q24-Volatilities_Resets!$O24)/50)*((Calculator!CG35-Calculator!CI$6)*10000)+Volatilities_Resets!$O24)),IF(CG35&gt;=CI$5,IF(CG35&lt;CJ$5,(((Volatilities_Resets!$O24-Volatilities_Resets!$M24)/50)*((Calculator!CG35-Calculator!CI$5)*10000)+Volatilities_Resets!$M24)),IF(CG35&gt;=CI$4,IF(CG35&lt;CJ$4,(((Volatilities_Resets!$M24-Volatilities_Resets!$K24)/50)*((Calculator!CG35-Calculator!CI$4)*10000)+Volatilities_Resets!$K24)),IF(CG35&gt;=CI$3,IF(CG35&lt;CJ$3,(((Volatilities_Resets!$K24-Volatilities_Resets!$I24)/50)*((Calculator!CG35-Calculator!CI$3)*10000)+Volatilities_Resets!$I24)),IF(CG35&gt;=CI$2,IF(CG35&lt;CJ$2,(((Volatilities_Resets!$I24-Volatilities_Resets!$G24)/50)*((Calculator!CG35-Calculator!CI$2)*10000)+Volatilities_Resets!$G24)),"Well, something broke...")))))))))))/10000</f>
        <v>2.1624000000000001E-2</v>
      </c>
      <c r="CJ35" s="63">
        <f t="shared" ca="1" si="41"/>
        <v>4210.0360212752794</v>
      </c>
      <c r="CK35" s="63">
        <f t="shared" ca="1" si="42"/>
        <v>1.7078066018911774E-4</v>
      </c>
      <c r="CL35" s="63">
        <f t="shared" ca="1" si="48"/>
        <v>56799.809083355511</v>
      </c>
      <c r="CO35" s="63">
        <f t="shared" ca="1" si="43"/>
        <v>55.429544465690128</v>
      </c>
      <c r="CP35" s="63">
        <f ca="1">SUM($CO$15:CO35)</f>
        <v>822.06596546134517</v>
      </c>
      <c r="CR35" s="52">
        <f ca="1">EXP(-AVERAGE(CH$15:CH35)*CE35)</f>
        <v>0.93189465263513027</v>
      </c>
      <c r="CT35"/>
      <c r="CU35"/>
      <c r="CV35"/>
      <c r="CW35"/>
      <c r="CX35"/>
      <c r="CY35"/>
      <c r="CZ35"/>
      <c r="DA35"/>
      <c r="DB35"/>
      <c r="DC35"/>
      <c r="DD35"/>
      <c r="DE35"/>
      <c r="DF35"/>
      <c r="DG35"/>
      <c r="DH35"/>
      <c r="DI35"/>
      <c r="DJ35"/>
      <c r="DK35"/>
      <c r="DL35"/>
    </row>
    <row r="36" spans="2:116" ht="15.75" customHeight="1">
      <c r="B36" s="52">
        <v>2</v>
      </c>
      <c r="C36" s="52">
        <f t="shared" ca="1" si="15"/>
        <v>22</v>
      </c>
      <c r="D36" s="71">
        <f t="shared" ca="1" si="16"/>
        <v>45649</v>
      </c>
      <c r="E36" s="71">
        <f t="shared" ca="1" si="0"/>
        <v>45680</v>
      </c>
      <c r="F36" s="72">
        <f t="shared" ca="1" si="1"/>
        <v>31</v>
      </c>
      <c r="G36" s="73">
        <f ca="1">SUM($F$15:F36)/360</f>
        <v>1.8666666666666667</v>
      </c>
      <c r="H36" s="74">
        <f t="shared" si="2"/>
        <v>25000000</v>
      </c>
      <c r="I36" s="59">
        <f>IF('Cap Pricer'!$E$22=DataValidation!$C$2,'Cap Pricer'!$E$23,IF('Cap Pricer'!$E$22=DataValidation!$C$3,VLOOKUP($B36,'Cap Pricer'!$C$25:$E$31,3),""))</f>
        <v>0.02</v>
      </c>
      <c r="J36" s="57">
        <f>Volatilities_Resets!$E25*0.01</f>
        <v>2.96014E-2</v>
      </c>
      <c r="K36" s="61">
        <f>IF(I36=L$11,Volatilities_Resets!$AA25,IF(I36&gt;=K$11,IF(I36&lt;L$11,(((Volatilities_Resets!$AA25-Volatilities_Resets!$Y25)/50)*((Calculator!I36-Calculator!K$11)*10000)+Volatilities_Resets!$Y25)),IF(I36&gt;=K$10,IF(I36&lt;L$10,(((Volatilities_Resets!$Y25-Volatilities_Resets!$W25)/50)*((Calculator!I36-Calculator!K$10)*10000)+Volatilities_Resets!$W25)),IF(I36&gt;=K$9,IF(I36&lt;L$9,(((Volatilities_Resets!$W25-Volatilities_Resets!$U25)/50)*((Calculator!I36-Calculator!K$9)*10000)+Volatilities_Resets!$U25)),IF(I36&gt;=K$8,IF(I36&lt;L$8,(((Volatilities_Resets!$U25-Volatilities_Resets!$S25)/50)*((Calculator!I36-Calculator!K$8)*10000)+Volatilities_Resets!$S25)),IF(I36&gt;=K$7,IF(I36&lt;L$7,(((Volatilities_Resets!$S25-Volatilities_Resets!$Q25)/50)*((Calculator!I36-Calculator!K$7)*10000)+Volatilities_Resets!$Q25)),IF(I36&gt;=K$6,IF(I36&lt;L$6,(((Volatilities_Resets!$Q25-Volatilities_Resets!$O25)/50)*((Calculator!I36-Calculator!K$6)*10000)+Volatilities_Resets!$O25)),IF(I36&gt;=K$5,IF(I36&lt;L$5,(((Volatilities_Resets!$O25-Volatilities_Resets!$M25)/50)*((Calculator!I36-Calculator!K$5)*10000)+Volatilities_Resets!$M25)),IF(I36&gt;=K$4,IF(I36&lt;L$4,(((Volatilities_Resets!$M25-Volatilities_Resets!$K25)/50)*((Calculator!I36-Calculator!K$4)*10000)+Volatilities_Resets!$K25)),IF(I36&gt;=K$3,IF(I36&lt;L$3,(((Volatilities_Resets!$K25-Volatilities_Resets!$I25)/50)*((Calculator!I36-Calculator!K$3)*10000)+Volatilities_Resets!$I25)),IF(I36&gt;=K$2,IF(I36&lt;L$2,(((Volatilities_Resets!$I25-Volatilities_Resets!$G25)/50)*((Calculator!I36-Calculator!K$2)*10000)+Volatilities_Resets!$G25)),"Well, something broke...")))))))))))/10000</f>
        <v>2.0794999999999998E-2</v>
      </c>
      <c r="L36" s="47">
        <f t="shared" ca="1" si="17"/>
        <v>33569.947839354958</v>
      </c>
      <c r="M36" s="63">
        <f t="shared" ca="1" si="18"/>
        <v>1.3469196135748498E-3</v>
      </c>
      <c r="N36" s="63">
        <f t="shared" ca="1" si="44"/>
        <v>1002620.0076503418</v>
      </c>
      <c r="Q36" s="63">
        <f t="shared" ca="1" si="19"/>
        <v>95.779087543155896</v>
      </c>
      <c r="R36" s="63">
        <f ca="1">SUM($Q$15:Q36)</f>
        <v>1152.578269845802</v>
      </c>
      <c r="T36" s="52">
        <f ca="1">EXP(-AVERAGE(J$15:J36)*G36)</f>
        <v>0.92951051777678995</v>
      </c>
      <c r="U36" s="57"/>
      <c r="V36" s="52">
        <f t="shared" ca="1" si="20"/>
        <v>22</v>
      </c>
      <c r="W36" s="71">
        <f t="shared" ca="1" si="21"/>
        <v>45649</v>
      </c>
      <c r="X36" s="71">
        <f t="shared" ca="1" si="3"/>
        <v>45680</v>
      </c>
      <c r="Y36" s="72">
        <f t="shared" ca="1" si="4"/>
        <v>31</v>
      </c>
      <c r="Z36" s="73">
        <f ca="1">SUM(Y$15:Y36)/360</f>
        <v>1.8666666666666667</v>
      </c>
      <c r="AA36" s="74">
        <f t="shared" si="22"/>
        <v>25000000</v>
      </c>
      <c r="AB36" s="59">
        <f t="shared" si="23"/>
        <v>0.03</v>
      </c>
      <c r="AC36" s="57">
        <f>Volatilities_Resets!$E25*0.01</f>
        <v>2.96014E-2</v>
      </c>
      <c r="AD36" s="61">
        <f>IF(AB36=AE$11,Volatilities_Resets!$AA25,IF(AB36&gt;=AD$11,IF(AB36&lt;AE$11,(((Volatilities_Resets!$AA25-Volatilities_Resets!$Y25)/50)*((Calculator!AB36-Calculator!AD$11)*10000)+Volatilities_Resets!$Y25)),IF(AB36&gt;=AD$10,IF(AB36&lt;AE$10,(((Volatilities_Resets!$Y25-Volatilities_Resets!$W25)/50)*((Calculator!AB36-Calculator!AD$10)*10000)+Volatilities_Resets!$W25)),IF(AB36&gt;=AD$9,IF(AB36&lt;AE$9,(((Volatilities_Resets!$W25-Volatilities_Resets!$U25)/50)*((Calculator!AB36-Calculator!AD$9)*10000)+Volatilities_Resets!$U25)),IF(AB36&gt;=AD$8,IF(AB36&lt;AE$8,(((Volatilities_Resets!$U25-Volatilities_Resets!$S25)/50)*((Calculator!AB36-Calculator!AD$8)*10000)+Volatilities_Resets!$S25)),IF(AB36&gt;=AD$7,IF(AB36&lt;AE$7,(((Volatilities_Resets!$S25-Volatilities_Resets!$Q25)/50)*((Calculator!AB36-Calculator!AD$7)*10000)+Volatilities_Resets!$Q25)),IF(AB36&gt;=AD$6,IF(AB36&lt;AE$6,(((Volatilities_Resets!$Q25-Volatilities_Resets!$O25)/50)*((Calculator!AB36-Calculator!AD$6)*10000)+Volatilities_Resets!$O25)),IF(AB36&gt;=AD$5,IF(AB36&lt;AE$5,(((Volatilities_Resets!$O25-Volatilities_Resets!$M25)/50)*((Calculator!AB36-Calculator!AD$5)*10000)+Volatilities_Resets!$M25)),IF(AB36&gt;=AD$4,IF(AB36&lt;AE$4,(((Volatilities_Resets!$M25-Volatilities_Resets!$K25)/50)*((Calculator!AB36-Calculator!AD$4)*10000)+Volatilities_Resets!$K25)),IF(AB36&gt;=AD$3,IF(AB36&lt;AE$3,(((Volatilities_Resets!$K25-Volatilities_Resets!$I25)/50)*((Calculator!AB36-Calculator!AD$3)*10000)+Volatilities_Resets!$I25)),IF(AB36&gt;=AD$2,IF(AB36&lt;AE$2,(((Volatilities_Resets!$I25-Volatilities_Resets!$G25)/50)*((Calculator!AB36-Calculator!AD$2)*10000)+Volatilities_Resets!$G25)),"Well, something broke...")))))))))))/10000</f>
        <v>2.0967E-2</v>
      </c>
      <c r="AE36" s="63">
        <f t="shared" ca="1" si="24"/>
        <v>22471.675728156199</v>
      </c>
      <c r="AF36" s="63">
        <f t="shared" ca="1" si="25"/>
        <v>9.0322932491944505E-4</v>
      </c>
      <c r="AG36" s="63">
        <f t="shared" ca="1" si="45"/>
        <v>663759.31762239174</v>
      </c>
      <c r="AJ36" s="63">
        <f t="shared" ca="1" si="26"/>
        <v>101.36999553575284</v>
      </c>
      <c r="AK36" s="63">
        <f ca="1">SUM($AJ$15:AJ36)</f>
        <v>1395.5122437923533</v>
      </c>
      <c r="AM36" s="52">
        <f ca="1">EXP(-AVERAGE(AC$15:AC36)*Z36)</f>
        <v>0.92951051777678995</v>
      </c>
      <c r="AO36" s="52">
        <f t="shared" ca="1" si="27"/>
        <v>22</v>
      </c>
      <c r="AP36" s="71">
        <f t="shared" ca="1" si="28"/>
        <v>45649</v>
      </c>
      <c r="AQ36" s="71">
        <f t="shared" ca="1" si="5"/>
        <v>45680</v>
      </c>
      <c r="AR36" s="72">
        <f t="shared" ca="1" si="6"/>
        <v>31</v>
      </c>
      <c r="AS36" s="73">
        <f ca="1">SUM(AR$15:AR36)/360</f>
        <v>1.8666666666666667</v>
      </c>
      <c r="AT36" s="74">
        <f t="shared" si="7"/>
        <v>25000000</v>
      </c>
      <c r="AU36" s="59">
        <f t="shared" si="29"/>
        <v>0.04</v>
      </c>
      <c r="AV36" s="57">
        <f>Volatilities_Resets!$E25*0.01</f>
        <v>2.96014E-2</v>
      </c>
      <c r="AW36" s="61">
        <f>IF(AU36=AX$11,Volatilities_Resets!$AA25,IF(AU36&gt;=AW$11,IF(AU36&lt;AX$11,(((Volatilities_Resets!$AA25-Volatilities_Resets!$Y25)/50)*((Calculator!AU36-Calculator!AW$11)*10000)+Volatilities_Resets!$Y25)),IF(AU36&gt;=AW$10,IF(AU36&lt;AX$10,(((Volatilities_Resets!$Y25-Volatilities_Resets!$W25)/50)*((Calculator!AU36-Calculator!AW$10)*10000)+Volatilities_Resets!$W25)),IF(AU36&gt;=AW$9,IF(AU36&lt;AX$9,(((Volatilities_Resets!$W25-Volatilities_Resets!$U25)/50)*((Calculator!AU36-Calculator!AW$9)*10000)+Volatilities_Resets!$U25)),IF(AU36&gt;=AW$8,IF(AU36&lt;AX$8,(((Volatilities_Resets!$U25-Volatilities_Resets!$S25)/50)*((Calculator!AU36-Calculator!AW$8)*10000)+Volatilities_Resets!$S25)),IF(AU36&gt;=AW$7,IF(AU36&lt;AX$7,(((Volatilities_Resets!$S25-Volatilities_Resets!$Q25)/50)*((Calculator!AU36-Calculator!AW$7)*10000)+Volatilities_Resets!$Q25)),IF(AU36&gt;=AW$6,IF(AU36&lt;AX$6,(((Volatilities_Resets!$Q25-Volatilities_Resets!$O25)/50)*((Calculator!AU36-Calculator!AW$6)*10000)+Volatilities_Resets!$O25)),IF(AU36&gt;=AW$5,IF(AU36&lt;AX$5,(((Volatilities_Resets!$O25-Volatilities_Resets!$M25)/50)*((Calculator!AU36-Calculator!AW$5)*10000)+Volatilities_Resets!$M25)),IF(AU36&gt;=AW$4,IF(AU36&lt;AX$4,(((Volatilities_Resets!$M25-Volatilities_Resets!$K25)/50)*((Calculator!AU36-Calculator!AW$4)*10000)+Volatilities_Resets!$K25)),IF(AU36&gt;=AW$3,IF(AU36&lt;AX$3,(((Volatilities_Resets!$K25-Volatilities_Resets!$I25)/50)*((Calculator!AU36-Calculator!AW$3)*10000)+Volatilities_Resets!$I25)),IF(AU36&gt;=AW$2,IF(AU36&lt;AX$2,(((Volatilities_Resets!$I25-Volatilities_Resets!$G25)/50)*((Calculator!AU36-Calculator!AW$2)*10000)+Volatilities_Resets!$G25)),"Well, something broke...")))))))))))/10000</f>
        <v>2.0659E-2</v>
      </c>
      <c r="AX36" s="63">
        <f t="shared" ca="1" si="30"/>
        <v>13640.43842972466</v>
      </c>
      <c r="AY36" s="63">
        <f t="shared" ca="1" si="31"/>
        <v>5.4969534092488511E-4</v>
      </c>
      <c r="AZ36" s="63">
        <f t="shared" ca="1" si="46"/>
        <v>371664.16282536136</v>
      </c>
      <c r="BC36" s="63">
        <f t="shared" ca="1" si="8"/>
        <v>94.759036548683213</v>
      </c>
      <c r="BD36" s="63">
        <f ca="1">SUM($BC$15:BC36)</f>
        <v>1497.2792052590969</v>
      </c>
      <c r="BF36" s="52">
        <f ca="1">EXP(-AVERAGE(AV$15:AV36)*AS36)</f>
        <v>0.92951051777678995</v>
      </c>
      <c r="BH36" s="52">
        <f t="shared" ca="1" si="32"/>
        <v>22</v>
      </c>
      <c r="BI36" s="71">
        <f t="shared" ca="1" si="33"/>
        <v>45649</v>
      </c>
      <c r="BJ36" s="71">
        <f t="shared" ca="1" si="9"/>
        <v>45680</v>
      </c>
      <c r="BK36" s="72">
        <f t="shared" ca="1" si="10"/>
        <v>31</v>
      </c>
      <c r="BL36" s="73">
        <f ca="1">SUM(BK$15:BK36)/360</f>
        <v>1.8666666666666667</v>
      </c>
      <c r="BM36" s="74">
        <f t="shared" si="11"/>
        <v>25000000</v>
      </c>
      <c r="BN36" s="59">
        <f t="shared" si="34"/>
        <v>0.05</v>
      </c>
      <c r="BO36" s="57">
        <f>Volatilities_Resets!$E25*0.01</f>
        <v>2.96014E-2</v>
      </c>
      <c r="BP36" s="61">
        <f>IF(BN36=BQ$11,Volatilities_Resets!$AA25,IF(BN36&gt;=BP$11,IF(BN36&lt;BQ$11,(((Volatilities_Resets!$AA25-Volatilities_Resets!$Y25)/50)*((Calculator!BN36-Calculator!BP$11)*10000)+Volatilities_Resets!$Y25)),IF(BN36&gt;=BP$10,IF(BN36&lt;BQ$10,(((Volatilities_Resets!$Y25-Volatilities_Resets!$W25)/50)*((Calculator!BN36-Calculator!BP$10)*10000)+Volatilities_Resets!$W25)),IF(BN36&gt;=BP$9,IF(BN36&lt;BQ$9,(((Volatilities_Resets!$W25-Volatilities_Resets!$U25)/50)*((Calculator!BN36-Calculator!BP$9)*10000)+Volatilities_Resets!$U25)),IF(BN36&gt;=BP$8,IF(BN36&lt;BQ$8,(((Volatilities_Resets!$U25-Volatilities_Resets!$S25)/50)*((Calculator!BN36-Calculator!BP$8)*10000)+Volatilities_Resets!$S25)),IF(BN36&gt;=BP$7,IF(BN36&lt;BQ$7,(((Volatilities_Resets!$S25-Volatilities_Resets!$Q25)/50)*((Calculator!BN36-Calculator!BP$7)*10000)+Volatilities_Resets!$Q25)),IF(BN36&gt;=BP$6,IF(BN36&lt;BQ$6,(((Volatilities_Resets!$Q25-Volatilities_Resets!$O25)/50)*((Calculator!BN36-Calculator!BP$6)*10000)+Volatilities_Resets!$O25)),IF(BN36&gt;=BP$5,IF(BN36&lt;BQ$5,(((Volatilities_Resets!$O25-Volatilities_Resets!$M25)/50)*((Calculator!BN36-Calculator!BP$5)*10000)+Volatilities_Resets!$M25)),IF(BN36&gt;=BP$4,IF(BN36&lt;BQ$4,(((Volatilities_Resets!$M25-Volatilities_Resets!$K25)/50)*((Calculator!BN36-Calculator!BP$4)*10000)+Volatilities_Resets!$K25)),IF(BN36&gt;=BP$3,IF(BN36&lt;BQ$3,(((Volatilities_Resets!$K25-Volatilities_Resets!$I25)/50)*((Calculator!BN36-Calculator!BP$3)*10000)+Volatilities_Resets!$I25)),IF(BN36&gt;=BP$2,IF(BN36&lt;BQ$2,(((Volatilities_Resets!$I25-Volatilities_Resets!$G25)/50)*((Calculator!BN36-Calculator!BP$2)*10000)+Volatilities_Resets!$G25)),"Well, something broke...")))))))))))/10000</f>
        <v>2.0426E-2</v>
      </c>
      <c r="BQ36" s="63">
        <f t="shared" ca="1" si="35"/>
        <v>7569.0219916449159</v>
      </c>
      <c r="BR36" s="63">
        <f t="shared" ca="1" si="36"/>
        <v>3.0610518021535076E-4</v>
      </c>
      <c r="BS36" s="63">
        <f t="shared" ca="1" si="47"/>
        <v>159566.3276982384</v>
      </c>
      <c r="BV36" s="63">
        <f t="shared" ca="1" si="37"/>
        <v>77.71406338543126</v>
      </c>
      <c r="BW36" s="63">
        <f ca="1">SUM($BV$15:BV36)</f>
        <v>1343.768303299081</v>
      </c>
      <c r="BY36" s="52">
        <f ca="1">EXP(-AVERAGE(BO$15:BO36)*BL36)</f>
        <v>0.92951051777678995</v>
      </c>
      <c r="CA36" s="52">
        <f t="shared" ca="1" si="38"/>
        <v>22</v>
      </c>
      <c r="CB36" s="71">
        <f t="shared" ca="1" si="39"/>
        <v>45649</v>
      </c>
      <c r="CC36" s="71">
        <f t="shared" ca="1" si="12"/>
        <v>45680</v>
      </c>
      <c r="CD36" s="72">
        <f t="shared" ca="1" si="13"/>
        <v>31</v>
      </c>
      <c r="CE36" s="73">
        <f ca="1">SUM(CD$15:CD36)/360</f>
        <v>1.8666666666666667</v>
      </c>
      <c r="CF36" s="74">
        <f t="shared" si="14"/>
        <v>25000000</v>
      </c>
      <c r="CG36" s="59">
        <f t="shared" si="40"/>
        <v>0.06</v>
      </c>
      <c r="CH36" s="57">
        <f>Volatilities_Resets!$E25*0.01</f>
        <v>2.96014E-2</v>
      </c>
      <c r="CI36" s="61">
        <f>IF(CG36=CJ$11,Volatilities_Resets!$AA25,IF(CG36&gt;=CI$11,IF(CG36&lt;CJ$11,(((Volatilities_Resets!$AA25-Volatilities_Resets!$Y25)/50)*((Calculator!CG36-Calculator!CI$11)*10000)+Volatilities_Resets!$Y25)),IF(CG36&gt;=CI$10,IF(CG36&lt;CJ$10,(((Volatilities_Resets!$Y25-Volatilities_Resets!$W25)/50)*((Calculator!CG36-Calculator!CI$10)*10000)+Volatilities_Resets!$W25)),IF(CG36&gt;=CI$9,IF(CG36&lt;CJ$9,(((Volatilities_Resets!$W25-Volatilities_Resets!$U25)/50)*((Calculator!CG36-Calculator!CI$9)*10000)+Volatilities_Resets!$U25)),IF(CG36&gt;=CI$8,IF(CG36&lt;CJ$8,(((Volatilities_Resets!$U25-Volatilities_Resets!$S25)/50)*((Calculator!CG36-Calculator!CI$8)*10000)+Volatilities_Resets!$S25)),IF(CG36&gt;=CI$7,IF(CG36&lt;CJ$7,(((Volatilities_Resets!$S25-Volatilities_Resets!$Q25)/50)*((Calculator!CG36-Calculator!CI$7)*10000)+Volatilities_Resets!$Q25)),IF(CG36&gt;=CI$6,IF(CG36&lt;CJ$6,(((Volatilities_Resets!$Q25-Volatilities_Resets!$O25)/50)*((Calculator!CG36-Calculator!CI$6)*10000)+Volatilities_Resets!$O25)),IF(CG36&gt;=CI$5,IF(CG36&lt;CJ$5,(((Volatilities_Resets!$O25-Volatilities_Resets!$M25)/50)*((Calculator!CG36-Calculator!CI$5)*10000)+Volatilities_Resets!$M25)),IF(CG36&gt;=CI$4,IF(CG36&lt;CJ$4,(((Volatilities_Resets!$M25-Volatilities_Resets!$K25)/50)*((Calculator!CG36-Calculator!CI$4)*10000)+Volatilities_Resets!$K25)),IF(CG36&gt;=CI$3,IF(CG36&lt;CJ$3,(((Volatilities_Resets!$K25-Volatilities_Resets!$I25)/50)*((Calculator!CG36-Calculator!CI$3)*10000)+Volatilities_Resets!$I25)),IF(CG36&gt;=CI$2,IF(CG36&lt;CJ$2,(((Volatilities_Resets!$I25-Volatilities_Resets!$G25)/50)*((Calculator!CG36-Calculator!CI$2)*10000)+Volatilities_Resets!$G25)),"Well, something broke...")))))))))))/10000</f>
        <v>2.1406000000000001E-2</v>
      </c>
      <c r="CJ36" s="63">
        <f t="shared" ca="1" si="41"/>
        <v>4520.8056644269836</v>
      </c>
      <c r="CK36" s="63">
        <f t="shared" ca="1" si="42"/>
        <v>1.8338052684788834E-4</v>
      </c>
      <c r="CL36" s="63">
        <f t="shared" ca="1" si="48"/>
        <v>61320.614747782492</v>
      </c>
      <c r="CO36" s="63">
        <f t="shared" ca="1" si="43"/>
        <v>59.216797604259732</v>
      </c>
      <c r="CP36" s="63">
        <f ca="1">SUM($CO$15:CO36)</f>
        <v>881.28276306560485</v>
      </c>
      <c r="CR36" s="52">
        <f ca="1">EXP(-AVERAGE(CH$15:CH36)*CE36)</f>
        <v>0.92951051777678995</v>
      </c>
      <c r="CT36"/>
      <c r="CU36"/>
      <c r="CV36"/>
      <c r="CW36"/>
      <c r="CX36"/>
      <c r="CY36"/>
      <c r="CZ36"/>
      <c r="DA36"/>
      <c r="DB36"/>
      <c r="DC36"/>
      <c r="DD36"/>
      <c r="DE36"/>
      <c r="DF36"/>
      <c r="DG36"/>
      <c r="DH36"/>
      <c r="DI36"/>
      <c r="DJ36"/>
      <c r="DK36"/>
      <c r="DL36"/>
    </row>
    <row r="37" spans="2:116" ht="15.75" customHeight="1">
      <c r="B37" s="52">
        <v>2</v>
      </c>
      <c r="C37" s="52">
        <f t="shared" ca="1" si="15"/>
        <v>23</v>
      </c>
      <c r="D37" s="71">
        <f t="shared" ca="1" si="16"/>
        <v>45680</v>
      </c>
      <c r="E37" s="71">
        <f t="shared" ca="1" si="0"/>
        <v>45711</v>
      </c>
      <c r="F37" s="72">
        <f t="shared" ca="1" si="1"/>
        <v>31</v>
      </c>
      <c r="G37" s="73">
        <f ca="1">SUM($F$15:F37)/360</f>
        <v>1.9527777777777777</v>
      </c>
      <c r="H37" s="74">
        <f t="shared" si="2"/>
        <v>25000000</v>
      </c>
      <c r="I37" s="59">
        <f>IF('Cap Pricer'!$E$22=DataValidation!$C$2,'Cap Pricer'!$E$23,IF('Cap Pricer'!$E$22=DataValidation!$C$3,VLOOKUP($B37,'Cap Pricer'!$C$25:$E$31,3),""))</f>
        <v>0.02</v>
      </c>
      <c r="J37" s="57">
        <f>Volatilities_Resets!$E26*0.01</f>
        <v>2.9600100000000001E-2</v>
      </c>
      <c r="K37" s="61">
        <f>IF(I37=L$11,Volatilities_Resets!$AA26,IF(I37&gt;=K$11,IF(I37&lt;L$11,(((Volatilities_Resets!$AA26-Volatilities_Resets!$Y26)/50)*((Calculator!I37-Calculator!K$11)*10000)+Volatilities_Resets!$Y26)),IF(I37&gt;=K$10,IF(I37&lt;L$10,(((Volatilities_Resets!$Y26-Volatilities_Resets!$W26)/50)*((Calculator!I37-Calculator!K$10)*10000)+Volatilities_Resets!$W26)),IF(I37&gt;=K$9,IF(I37&lt;L$9,(((Volatilities_Resets!$W26-Volatilities_Resets!$U26)/50)*((Calculator!I37-Calculator!K$9)*10000)+Volatilities_Resets!$U26)),IF(I37&gt;=K$8,IF(I37&lt;L$8,(((Volatilities_Resets!$U26-Volatilities_Resets!$S26)/50)*((Calculator!I37-Calculator!K$8)*10000)+Volatilities_Resets!$S26)),IF(I37&gt;=K$7,IF(I37&lt;L$7,(((Volatilities_Resets!$S26-Volatilities_Resets!$Q26)/50)*((Calculator!I37-Calculator!K$7)*10000)+Volatilities_Resets!$Q26)),IF(I37&gt;=K$6,IF(I37&lt;L$6,(((Volatilities_Resets!$Q26-Volatilities_Resets!$O26)/50)*((Calculator!I37-Calculator!K$6)*10000)+Volatilities_Resets!$O26)),IF(I37&gt;=K$5,IF(I37&lt;L$5,(((Volatilities_Resets!$O26-Volatilities_Resets!$M26)/50)*((Calculator!I37-Calculator!K$5)*10000)+Volatilities_Resets!$M26)),IF(I37&gt;=K$4,IF(I37&lt;L$4,(((Volatilities_Resets!$M26-Volatilities_Resets!$K26)/50)*((Calculator!I37-Calculator!K$4)*10000)+Volatilities_Resets!$K26)),IF(I37&gt;=K$3,IF(I37&lt;L$3,(((Volatilities_Resets!$K26-Volatilities_Resets!$I26)/50)*((Calculator!I37-Calculator!K$3)*10000)+Volatilities_Resets!$I26)),IF(I37&gt;=K$2,IF(I37&lt;L$2,(((Volatilities_Resets!$I26-Volatilities_Resets!$G26)/50)*((Calculator!I37-Calculator!K$2)*10000)+Volatilities_Resets!$G26)),"Well, something broke...")))))))))))/10000</f>
        <v>2.0645E-2</v>
      </c>
      <c r="L37" s="47">
        <f t="shared" ca="1" si="17"/>
        <v>33812.398054846577</v>
      </c>
      <c r="M37" s="63">
        <f t="shared" ca="1" si="18"/>
        <v>1.3567081222678014E-3</v>
      </c>
      <c r="N37" s="63">
        <f t="shared" ca="1" si="44"/>
        <v>1036432.4057051884</v>
      </c>
      <c r="Q37" s="63">
        <f t="shared" ca="1" si="19"/>
        <v>97.631805883674772</v>
      </c>
      <c r="R37" s="63">
        <f ca="1">SUM($Q$15:Q37)</f>
        <v>1250.2100757294768</v>
      </c>
      <c r="T37" s="52">
        <f ca="1">EXP(-AVERAGE(J$15:J37)*G37)</f>
        <v>0.92713360400653388</v>
      </c>
      <c r="U37" s="57"/>
      <c r="V37" s="52">
        <f t="shared" ca="1" si="20"/>
        <v>23</v>
      </c>
      <c r="W37" s="71">
        <f t="shared" ca="1" si="21"/>
        <v>45680</v>
      </c>
      <c r="X37" s="71">
        <f t="shared" ca="1" si="3"/>
        <v>45711</v>
      </c>
      <c r="Y37" s="72">
        <f t="shared" ca="1" si="4"/>
        <v>31</v>
      </c>
      <c r="Z37" s="73">
        <f ca="1">SUM(Y$15:Y37)/360</f>
        <v>1.9527777777777777</v>
      </c>
      <c r="AA37" s="74">
        <f t="shared" si="22"/>
        <v>25000000</v>
      </c>
      <c r="AB37" s="59">
        <f t="shared" si="23"/>
        <v>0.03</v>
      </c>
      <c r="AC37" s="57">
        <f>Volatilities_Resets!$E26*0.01</f>
        <v>2.9600100000000001E-2</v>
      </c>
      <c r="AD37" s="61">
        <f>IF(AB37=AE$11,Volatilities_Resets!$AA26,IF(AB37&gt;=AD$11,IF(AB37&lt;AE$11,(((Volatilities_Resets!$AA26-Volatilities_Resets!$Y26)/50)*((Calculator!AB37-Calculator!AD$11)*10000)+Volatilities_Resets!$Y26)),IF(AB37&gt;=AD$10,IF(AB37&lt;AE$10,(((Volatilities_Resets!$Y26-Volatilities_Resets!$W26)/50)*((Calculator!AB37-Calculator!AD$10)*10000)+Volatilities_Resets!$W26)),IF(AB37&gt;=AD$9,IF(AB37&lt;AE$9,(((Volatilities_Resets!$W26-Volatilities_Resets!$U26)/50)*((Calculator!AB37-Calculator!AD$9)*10000)+Volatilities_Resets!$U26)),IF(AB37&gt;=AD$8,IF(AB37&lt;AE$8,(((Volatilities_Resets!$U26-Volatilities_Resets!$S26)/50)*((Calculator!AB37-Calculator!AD$8)*10000)+Volatilities_Resets!$S26)),IF(AB37&gt;=AD$7,IF(AB37&lt;AE$7,(((Volatilities_Resets!$S26-Volatilities_Resets!$Q26)/50)*((Calculator!AB37-Calculator!AD$7)*10000)+Volatilities_Resets!$Q26)),IF(AB37&gt;=AD$6,IF(AB37&lt;AE$6,(((Volatilities_Resets!$Q26-Volatilities_Resets!$O26)/50)*((Calculator!AB37-Calculator!AD$6)*10000)+Volatilities_Resets!$O26)),IF(AB37&gt;=AD$5,IF(AB37&lt;AE$5,(((Volatilities_Resets!$O26-Volatilities_Resets!$M26)/50)*((Calculator!AB37-Calculator!AD$5)*10000)+Volatilities_Resets!$M26)),IF(AB37&gt;=AD$4,IF(AB37&lt;AE$4,(((Volatilities_Resets!$M26-Volatilities_Resets!$K26)/50)*((Calculator!AB37-Calculator!AD$4)*10000)+Volatilities_Resets!$K26)),IF(AB37&gt;=AD$3,IF(AB37&lt;AE$3,(((Volatilities_Resets!$K26-Volatilities_Resets!$I26)/50)*((Calculator!AB37-Calculator!AD$3)*10000)+Volatilities_Resets!$I26)),IF(AB37&gt;=AD$2,IF(AB37&lt;AE$2,(((Volatilities_Resets!$I26-Volatilities_Resets!$G26)/50)*((Calculator!AB37-Calculator!AD$2)*10000)+Volatilities_Resets!$G26)),"Well, something broke...")))))))))))/10000</f>
        <v>2.0631E-2</v>
      </c>
      <c r="AE37" s="63">
        <f t="shared" ca="1" si="24"/>
        <v>22559.234791696705</v>
      </c>
      <c r="AF37" s="63">
        <f t="shared" ca="1" si="25"/>
        <v>9.0681976470136951E-4</v>
      </c>
      <c r="AG37" s="63">
        <f t="shared" ca="1" si="45"/>
        <v>686318.55241408839</v>
      </c>
      <c r="AJ37" s="63">
        <f t="shared" ca="1" si="26"/>
        <v>103.15225974309016</v>
      </c>
      <c r="AK37" s="63">
        <f ca="1">SUM($AJ$15:AJ37)</f>
        <v>1498.6645035354434</v>
      </c>
      <c r="AM37" s="52">
        <f ca="1">EXP(-AVERAGE(AC$15:AC37)*Z37)</f>
        <v>0.92713360400653388</v>
      </c>
      <c r="AO37" s="52">
        <f t="shared" ca="1" si="27"/>
        <v>23</v>
      </c>
      <c r="AP37" s="71">
        <f t="shared" ca="1" si="28"/>
        <v>45680</v>
      </c>
      <c r="AQ37" s="71">
        <f t="shared" ca="1" si="5"/>
        <v>45711</v>
      </c>
      <c r="AR37" s="72">
        <f t="shared" ca="1" si="6"/>
        <v>31</v>
      </c>
      <c r="AS37" s="73">
        <f ca="1">SUM(AR$15:AR37)/360</f>
        <v>1.9527777777777777</v>
      </c>
      <c r="AT37" s="74">
        <f t="shared" si="7"/>
        <v>25000000</v>
      </c>
      <c r="AU37" s="59">
        <f t="shared" si="29"/>
        <v>0.04</v>
      </c>
      <c r="AV37" s="57">
        <f>Volatilities_Resets!$E26*0.01</f>
        <v>2.9600100000000001E-2</v>
      </c>
      <c r="AW37" s="61">
        <f>IF(AU37=AX$11,Volatilities_Resets!$AA26,IF(AU37&gt;=AW$11,IF(AU37&lt;AX$11,(((Volatilities_Resets!$AA26-Volatilities_Resets!$Y26)/50)*((Calculator!AU37-Calculator!AW$11)*10000)+Volatilities_Resets!$Y26)),IF(AU37&gt;=AW$10,IF(AU37&lt;AX$10,(((Volatilities_Resets!$Y26-Volatilities_Resets!$W26)/50)*((Calculator!AU37-Calculator!AW$10)*10000)+Volatilities_Resets!$W26)),IF(AU37&gt;=AW$9,IF(AU37&lt;AX$9,(((Volatilities_Resets!$W26-Volatilities_Resets!$U26)/50)*((Calculator!AU37-Calculator!AW$9)*10000)+Volatilities_Resets!$U26)),IF(AU37&gt;=AW$8,IF(AU37&lt;AX$8,(((Volatilities_Resets!$U26-Volatilities_Resets!$S26)/50)*((Calculator!AU37-Calculator!AW$8)*10000)+Volatilities_Resets!$S26)),IF(AU37&gt;=AW$7,IF(AU37&lt;AX$7,(((Volatilities_Resets!$S26-Volatilities_Resets!$Q26)/50)*((Calculator!AU37-Calculator!AW$7)*10000)+Volatilities_Resets!$Q26)),IF(AU37&gt;=AW$6,IF(AU37&lt;AX$6,(((Volatilities_Resets!$Q26-Volatilities_Resets!$O26)/50)*((Calculator!AU37-Calculator!AW$6)*10000)+Volatilities_Resets!$O26)),IF(AU37&gt;=AW$5,IF(AU37&lt;AX$5,(((Volatilities_Resets!$O26-Volatilities_Resets!$M26)/50)*((Calculator!AU37-Calculator!AW$5)*10000)+Volatilities_Resets!$M26)),IF(AU37&gt;=AW$4,IF(AU37&lt;AX$4,(((Volatilities_Resets!$M26-Volatilities_Resets!$K26)/50)*((Calculator!AU37-Calculator!AW$4)*10000)+Volatilities_Resets!$K26)),IF(AU37&gt;=AW$3,IF(AU37&lt;AX$3,(((Volatilities_Resets!$K26-Volatilities_Resets!$I26)/50)*((Calculator!AU37-Calculator!AW$3)*10000)+Volatilities_Resets!$I26)),IF(AU37&gt;=AW$2,IF(AU37&lt;AX$2,(((Volatilities_Resets!$I26-Volatilities_Resets!$G26)/50)*((Calculator!AU37-Calculator!AW$2)*10000)+Volatilities_Resets!$G26)),"Well, something broke...")))))))))))/10000</f>
        <v>2.0043000000000002E-2</v>
      </c>
      <c r="AX37" s="63">
        <f t="shared" ca="1" si="30"/>
        <v>13443.186236193762</v>
      </c>
      <c r="AY37" s="63">
        <f t="shared" ca="1" si="31"/>
        <v>5.4188318434040031E-4</v>
      </c>
      <c r="AZ37" s="63">
        <f t="shared" ca="1" si="46"/>
        <v>385107.34906155511</v>
      </c>
      <c r="BC37" s="63">
        <f t="shared" ca="1" si="8"/>
        <v>96.32303670795325</v>
      </c>
      <c r="BD37" s="63">
        <f ca="1">SUM($BC$15:BC37)</f>
        <v>1593.6022419670501</v>
      </c>
      <c r="BF37" s="52">
        <f ca="1">EXP(-AVERAGE(AV$15:AV37)*AS37)</f>
        <v>0.92713360400653388</v>
      </c>
      <c r="BH37" s="52">
        <f t="shared" ca="1" si="32"/>
        <v>23</v>
      </c>
      <c r="BI37" s="71">
        <f t="shared" ca="1" si="33"/>
        <v>45680</v>
      </c>
      <c r="BJ37" s="71">
        <f t="shared" ca="1" si="9"/>
        <v>45711</v>
      </c>
      <c r="BK37" s="72">
        <f t="shared" ca="1" si="10"/>
        <v>31</v>
      </c>
      <c r="BL37" s="73">
        <f ca="1">SUM(BK$15:BK37)/360</f>
        <v>1.9527777777777777</v>
      </c>
      <c r="BM37" s="74">
        <f t="shared" si="11"/>
        <v>25000000</v>
      </c>
      <c r="BN37" s="59">
        <f t="shared" si="34"/>
        <v>0.05</v>
      </c>
      <c r="BO37" s="57">
        <f>Volatilities_Resets!$E26*0.01</f>
        <v>2.9600100000000001E-2</v>
      </c>
      <c r="BP37" s="61">
        <f>IF(BN37=BQ$11,Volatilities_Resets!$AA26,IF(BN37&gt;=BP$11,IF(BN37&lt;BQ$11,(((Volatilities_Resets!$AA26-Volatilities_Resets!$Y26)/50)*((Calculator!BN37-Calculator!BP$11)*10000)+Volatilities_Resets!$Y26)),IF(BN37&gt;=BP$10,IF(BN37&lt;BQ$10,(((Volatilities_Resets!$Y26-Volatilities_Resets!$W26)/50)*((Calculator!BN37-Calculator!BP$10)*10000)+Volatilities_Resets!$W26)),IF(BN37&gt;=BP$9,IF(BN37&lt;BQ$9,(((Volatilities_Resets!$W26-Volatilities_Resets!$U26)/50)*((Calculator!BN37-Calculator!BP$9)*10000)+Volatilities_Resets!$U26)),IF(BN37&gt;=BP$8,IF(BN37&lt;BQ$8,(((Volatilities_Resets!$U26-Volatilities_Resets!$S26)/50)*((Calculator!BN37-Calculator!BP$8)*10000)+Volatilities_Resets!$S26)),IF(BN37&gt;=BP$7,IF(BN37&lt;BQ$7,(((Volatilities_Resets!$S26-Volatilities_Resets!$Q26)/50)*((Calculator!BN37-Calculator!BP$7)*10000)+Volatilities_Resets!$Q26)),IF(BN37&gt;=BP$6,IF(BN37&lt;BQ$6,(((Volatilities_Resets!$Q26-Volatilities_Resets!$O26)/50)*((Calculator!BN37-Calculator!BP$6)*10000)+Volatilities_Resets!$O26)),IF(BN37&gt;=BP$5,IF(BN37&lt;BQ$5,(((Volatilities_Resets!$O26-Volatilities_Resets!$M26)/50)*((Calculator!BN37-Calculator!BP$5)*10000)+Volatilities_Resets!$M26)),IF(BN37&gt;=BP$4,IF(BN37&lt;BQ$4,(((Volatilities_Resets!$M26-Volatilities_Resets!$K26)/50)*((Calculator!BN37-Calculator!BP$4)*10000)+Volatilities_Resets!$K26)),IF(BN37&gt;=BP$3,IF(BN37&lt;BQ$3,(((Volatilities_Resets!$K26-Volatilities_Resets!$I26)/50)*((Calculator!BN37-Calculator!BP$3)*10000)+Volatilities_Resets!$I26)),IF(BN37&gt;=BP$2,IF(BN37&lt;BQ$2,(((Volatilities_Resets!$I26-Volatilities_Resets!$G26)/50)*((Calculator!BN37-Calculator!BP$2)*10000)+Volatilities_Resets!$G26)),"Well, something broke...")))))))))))/10000</f>
        <v>1.9497999999999998E-2</v>
      </c>
      <c r="BQ37" s="63">
        <f t="shared" ca="1" si="35"/>
        <v>7149.1221583495108</v>
      </c>
      <c r="BR37" s="63">
        <f t="shared" ca="1" si="36"/>
        <v>2.8933259802382724E-4</v>
      </c>
      <c r="BS37" s="63">
        <f t="shared" ca="1" si="47"/>
        <v>166715.44985658792</v>
      </c>
      <c r="BV37" s="63">
        <f t="shared" ca="1" si="37"/>
        <v>78.057966906565156</v>
      </c>
      <c r="BW37" s="63">
        <f ca="1">SUM($BV$15:BV37)</f>
        <v>1421.8262702056461</v>
      </c>
      <c r="BY37" s="52">
        <f ca="1">EXP(-AVERAGE(BO$15:BO37)*BL37)</f>
        <v>0.92713360400653388</v>
      </c>
      <c r="CA37" s="52">
        <f t="shared" ca="1" si="38"/>
        <v>23</v>
      </c>
      <c r="CB37" s="71">
        <f t="shared" ca="1" si="39"/>
        <v>45680</v>
      </c>
      <c r="CC37" s="71">
        <f t="shared" ca="1" si="12"/>
        <v>45711</v>
      </c>
      <c r="CD37" s="72">
        <f t="shared" ca="1" si="13"/>
        <v>31</v>
      </c>
      <c r="CE37" s="73">
        <f ca="1">SUM(CD$15:CD37)/360</f>
        <v>1.9527777777777777</v>
      </c>
      <c r="CF37" s="74">
        <f t="shared" si="14"/>
        <v>25000000</v>
      </c>
      <c r="CG37" s="59">
        <f t="shared" si="40"/>
        <v>0.06</v>
      </c>
      <c r="CH37" s="57">
        <f>Volatilities_Resets!$E26*0.01</f>
        <v>2.9600100000000001E-2</v>
      </c>
      <c r="CI37" s="61">
        <f>IF(CG37=CJ$11,Volatilities_Resets!$AA26,IF(CG37&gt;=CI$11,IF(CG37&lt;CJ$11,(((Volatilities_Resets!$AA26-Volatilities_Resets!$Y26)/50)*((Calculator!CG37-Calculator!CI$11)*10000)+Volatilities_Resets!$Y26)),IF(CG37&gt;=CI$10,IF(CG37&lt;CJ$10,(((Volatilities_Resets!$Y26-Volatilities_Resets!$W26)/50)*((Calculator!CG37-Calculator!CI$10)*10000)+Volatilities_Resets!$W26)),IF(CG37&gt;=CI$9,IF(CG37&lt;CJ$9,(((Volatilities_Resets!$W26-Volatilities_Resets!$U26)/50)*((Calculator!CG37-Calculator!CI$9)*10000)+Volatilities_Resets!$U26)),IF(CG37&gt;=CI$8,IF(CG37&lt;CJ$8,(((Volatilities_Resets!$U26-Volatilities_Resets!$S26)/50)*((Calculator!CG37-Calculator!CI$8)*10000)+Volatilities_Resets!$S26)),IF(CG37&gt;=CI$7,IF(CG37&lt;CJ$7,(((Volatilities_Resets!$S26-Volatilities_Resets!$Q26)/50)*((Calculator!CG37-Calculator!CI$7)*10000)+Volatilities_Resets!$Q26)),IF(CG37&gt;=CI$6,IF(CG37&lt;CJ$6,(((Volatilities_Resets!$Q26-Volatilities_Resets!$O26)/50)*((Calculator!CG37-Calculator!CI$6)*10000)+Volatilities_Resets!$O26)),IF(CG37&gt;=CI$5,IF(CG37&lt;CJ$5,(((Volatilities_Resets!$O26-Volatilities_Resets!$M26)/50)*((Calculator!CG37-Calculator!CI$5)*10000)+Volatilities_Resets!$M26)),IF(CG37&gt;=CI$4,IF(CG37&lt;CJ$4,(((Volatilities_Resets!$M26-Volatilities_Resets!$K26)/50)*((Calculator!CG37-Calculator!CI$4)*10000)+Volatilities_Resets!$K26)),IF(CG37&gt;=CI$3,IF(CG37&lt;CJ$3,(((Volatilities_Resets!$K26-Volatilities_Resets!$I26)/50)*((Calculator!CG37-Calculator!CI$3)*10000)+Volatilities_Resets!$I26)),IF(CG37&gt;=CI$2,IF(CG37&lt;CJ$2,(((Volatilities_Resets!$I26-Volatilities_Resets!$G26)/50)*((Calculator!CG37-Calculator!CI$2)*10000)+Volatilities_Resets!$G26)),"Well, something broke...")))))))))))/10000</f>
        <v>2.0163999999999998E-2</v>
      </c>
      <c r="CJ37" s="63">
        <f t="shared" ca="1" si="41"/>
        <v>4023.1313652433541</v>
      </c>
      <c r="CK37" s="63">
        <f t="shared" ca="1" si="42"/>
        <v>1.6341947682980897E-4</v>
      </c>
      <c r="CL37" s="63">
        <f t="shared" ca="1" si="48"/>
        <v>65343.746113025845</v>
      </c>
      <c r="CO37" s="63">
        <f t="shared" ca="1" si="43"/>
        <v>57.811930902278185</v>
      </c>
      <c r="CP37" s="63">
        <f ca="1">SUM($CO$15:CO37)</f>
        <v>939.09469396788302</v>
      </c>
      <c r="CR37" s="52">
        <f ca="1">EXP(-AVERAGE(CH$15:CH37)*CE37)</f>
        <v>0.92713360400653388</v>
      </c>
      <c r="CT37"/>
      <c r="CU37"/>
      <c r="CV37"/>
      <c r="CW37"/>
      <c r="CX37"/>
      <c r="CY37"/>
      <c r="CZ37"/>
      <c r="DA37"/>
      <c r="DB37"/>
      <c r="DC37"/>
      <c r="DD37"/>
      <c r="DE37"/>
      <c r="DF37"/>
      <c r="DG37"/>
      <c r="DH37"/>
      <c r="DI37"/>
      <c r="DJ37"/>
      <c r="DK37"/>
      <c r="DL37"/>
    </row>
    <row r="38" spans="2:116" ht="15.75" customHeight="1">
      <c r="B38" s="52">
        <v>2</v>
      </c>
      <c r="C38" s="75">
        <f t="shared" ca="1" si="15"/>
        <v>24</v>
      </c>
      <c r="D38" s="76">
        <f t="shared" ca="1" si="16"/>
        <v>45711</v>
      </c>
      <c r="E38" s="76">
        <f t="shared" ca="1" si="0"/>
        <v>45739</v>
      </c>
      <c r="F38" s="77">
        <f t="shared" ca="1" si="1"/>
        <v>28</v>
      </c>
      <c r="G38" s="78">
        <f ca="1">SUM($F$15:F38)/360</f>
        <v>2.0305555555555554</v>
      </c>
      <c r="H38" s="79">
        <f t="shared" si="2"/>
        <v>25000000</v>
      </c>
      <c r="I38" s="80">
        <f>IF('Cap Pricer'!$E$22=DataValidation!$C$2,'Cap Pricer'!$E$23,IF('Cap Pricer'!$E$22=DataValidation!$C$3,VLOOKUP($B38,'Cap Pricer'!$C$25:$E$31,3),""))</f>
        <v>0.02</v>
      </c>
      <c r="J38" s="81">
        <f>Volatilities_Resets!$E27*0.01</f>
        <v>2.9596499999999998E-2</v>
      </c>
      <c r="K38" s="82">
        <f>IF(I38=L$11,Volatilities_Resets!$AA27,IF(I38&gt;=K$11,IF(I38&lt;L$11,(((Volatilities_Resets!$AA27-Volatilities_Resets!$Y27)/50)*((Calculator!I38-Calculator!K$11)*10000)+Volatilities_Resets!$Y27)),IF(I38&gt;=K$10,IF(I38&lt;L$10,(((Volatilities_Resets!$Y27-Volatilities_Resets!$W27)/50)*((Calculator!I38-Calculator!K$10)*10000)+Volatilities_Resets!$W27)),IF(I38&gt;=K$9,IF(I38&lt;L$9,(((Volatilities_Resets!$W27-Volatilities_Resets!$U27)/50)*((Calculator!I38-Calculator!K$9)*10000)+Volatilities_Resets!$U27)),IF(I38&gt;=K$8,IF(I38&lt;L$8,(((Volatilities_Resets!$U27-Volatilities_Resets!$S27)/50)*((Calculator!I38-Calculator!K$8)*10000)+Volatilities_Resets!$S27)),IF(I38&gt;=K$7,IF(I38&lt;L$7,(((Volatilities_Resets!$S27-Volatilities_Resets!$Q27)/50)*((Calculator!I38-Calculator!K$7)*10000)+Volatilities_Resets!$Q27)),IF(I38&gt;=K$6,IF(I38&lt;L$6,(((Volatilities_Resets!$Q27-Volatilities_Resets!$O27)/50)*((Calculator!I38-Calculator!K$6)*10000)+Volatilities_Resets!$O27)),IF(I38&gt;=K$5,IF(I38&lt;L$5,(((Volatilities_Resets!$O27-Volatilities_Resets!$M27)/50)*((Calculator!I38-Calculator!K$5)*10000)+Volatilities_Resets!$M27)),IF(I38&gt;=K$4,IF(I38&lt;L$4,(((Volatilities_Resets!$M27-Volatilities_Resets!$K27)/50)*((Calculator!I38-Calculator!K$4)*10000)+Volatilities_Resets!$K27)),IF(I38&gt;=K$3,IF(I38&lt;L$3,(((Volatilities_Resets!$K27-Volatilities_Resets!$I27)/50)*((Calculator!I38-Calculator!K$3)*10000)+Volatilities_Resets!$I27)),IF(I38&gt;=K$2,IF(I38&lt;L$2,(((Volatilities_Resets!$I27-Volatilities_Resets!$G27)/50)*((Calculator!I38-Calculator!K$2)*10000)+Volatilities_Resets!$G27)),"Well, something broke...")))))))))))/10000</f>
        <v>2.0499E-2</v>
      </c>
      <c r="L38" s="83">
        <f t="shared" ca="1" si="17"/>
        <v>30713.0210622253</v>
      </c>
      <c r="M38" s="84">
        <f t="shared" ca="1" si="18"/>
        <v>1.2323971628298552E-3</v>
      </c>
      <c r="N38" s="84">
        <f t="shared" ca="1" si="44"/>
        <v>1067145.4267674137</v>
      </c>
      <c r="O38" s="84">
        <f ca="1">SUM(L27:L38)</f>
        <v>418047.74041148543</v>
      </c>
      <c r="P38" s="49"/>
      <c r="Q38" s="84">
        <f t="shared" ca="1" si="19"/>
        <v>89.645685853064094</v>
      </c>
      <c r="R38" s="84">
        <f ca="1">SUM($Q$15:Q38)</f>
        <v>1339.8557615825409</v>
      </c>
      <c r="T38" s="52">
        <f ca="1">EXP(-AVERAGE(J$15:J38)*G38)</f>
        <v>0.92505962325668056</v>
      </c>
      <c r="U38" s="57"/>
      <c r="V38" s="75">
        <f t="shared" ca="1" si="20"/>
        <v>24</v>
      </c>
      <c r="W38" s="76">
        <f t="shared" ca="1" si="21"/>
        <v>45711</v>
      </c>
      <c r="X38" s="76">
        <f t="shared" ca="1" si="3"/>
        <v>45739</v>
      </c>
      <c r="Y38" s="77">
        <f t="shared" ca="1" si="4"/>
        <v>28</v>
      </c>
      <c r="Z38" s="78">
        <f ca="1">SUM(Y$15:Y38)/360</f>
        <v>2.0305555555555554</v>
      </c>
      <c r="AA38" s="79">
        <f t="shared" si="22"/>
        <v>25000000</v>
      </c>
      <c r="AB38" s="80">
        <f t="shared" si="23"/>
        <v>0.03</v>
      </c>
      <c r="AC38" s="81">
        <f>Volatilities_Resets!$E27*0.01</f>
        <v>2.9596499999999998E-2</v>
      </c>
      <c r="AD38" s="82">
        <f>IF(AB38=AE$11,Volatilities_Resets!$AA27,IF(AB38&gt;=AD$11,IF(AB38&lt;AE$11,(((Volatilities_Resets!$AA27-Volatilities_Resets!$Y27)/50)*((Calculator!AB38-Calculator!AD$11)*10000)+Volatilities_Resets!$Y27)),IF(AB38&gt;=AD$10,IF(AB38&lt;AE$10,(((Volatilities_Resets!$Y27-Volatilities_Resets!$W27)/50)*((Calculator!AB38-Calculator!AD$10)*10000)+Volatilities_Resets!$W27)),IF(AB38&gt;=AD$9,IF(AB38&lt;AE$9,(((Volatilities_Resets!$W27-Volatilities_Resets!$U27)/50)*((Calculator!AB38-Calculator!AD$9)*10000)+Volatilities_Resets!$U27)),IF(AB38&gt;=AD$8,IF(AB38&lt;AE$8,(((Volatilities_Resets!$U27-Volatilities_Resets!$S27)/50)*((Calculator!AB38-Calculator!AD$8)*10000)+Volatilities_Resets!$S27)),IF(AB38&gt;=AD$7,IF(AB38&lt;AE$7,(((Volatilities_Resets!$S27-Volatilities_Resets!$Q27)/50)*((Calculator!AB38-Calculator!AD$7)*10000)+Volatilities_Resets!$Q27)),IF(AB38&gt;=AD$6,IF(AB38&lt;AE$6,(((Volatilities_Resets!$Q27-Volatilities_Resets!$O27)/50)*((Calculator!AB38-Calculator!AD$6)*10000)+Volatilities_Resets!$O27)),IF(AB38&gt;=AD$5,IF(AB38&lt;AE$5,(((Volatilities_Resets!$O27-Volatilities_Resets!$M27)/50)*((Calculator!AB38-Calculator!AD$5)*10000)+Volatilities_Resets!$M27)),IF(AB38&gt;=AD$4,IF(AB38&lt;AE$4,(((Volatilities_Resets!$M27-Volatilities_Resets!$K27)/50)*((Calculator!AB38-Calculator!AD$4)*10000)+Volatilities_Resets!$K27)),IF(AB38&gt;=AD$3,IF(AB38&lt;AE$3,(((Volatilities_Resets!$K27-Volatilities_Resets!$I27)/50)*((Calculator!AB38-Calculator!AD$3)*10000)+Volatilities_Resets!$I27)),IF(AB38&gt;=AD$2,IF(AB38&lt;AE$2,(((Volatilities_Resets!$I27-Volatilities_Resets!$G27)/50)*((Calculator!AB38-Calculator!AD$2)*10000)+Volatilities_Resets!$G27)),"Well, something broke...")))))))))))/10000</f>
        <v>2.0319E-2</v>
      </c>
      <c r="AE38" s="84">
        <f t="shared" ca="1" si="24"/>
        <v>20416.232406425603</v>
      </c>
      <c r="AF38" s="84">
        <f t="shared" ca="1" si="25"/>
        <v>8.2073908424139307E-4</v>
      </c>
      <c r="AG38" s="84">
        <f t="shared" ca="1" si="45"/>
        <v>706734.78482051403</v>
      </c>
      <c r="AH38" s="84">
        <f ca="1">SUM(AE27:AE38)</f>
        <v>274900.19634508528</v>
      </c>
      <c r="AI38" s="49"/>
      <c r="AJ38" s="84">
        <f t="shared" ca="1" si="26"/>
        <v>94.582443300500415</v>
      </c>
      <c r="AK38" s="84">
        <f ca="1">SUM($AJ$15:AJ38)</f>
        <v>1593.2469468359438</v>
      </c>
      <c r="AM38" s="52">
        <f ca="1">EXP(-AVERAGE(AC$15:AC38)*Z38)</f>
        <v>0.92505962325668056</v>
      </c>
      <c r="AO38" s="75">
        <f t="shared" ca="1" si="27"/>
        <v>24</v>
      </c>
      <c r="AP38" s="76">
        <f t="shared" ca="1" si="28"/>
        <v>45711</v>
      </c>
      <c r="AQ38" s="76">
        <f t="shared" ca="1" si="5"/>
        <v>45739</v>
      </c>
      <c r="AR38" s="77">
        <f t="shared" ca="1" si="6"/>
        <v>28</v>
      </c>
      <c r="AS38" s="78">
        <f ca="1">SUM(AR$15:AR38)/360</f>
        <v>2.0305555555555554</v>
      </c>
      <c r="AT38" s="79">
        <f t="shared" si="7"/>
        <v>25000000</v>
      </c>
      <c r="AU38" s="80">
        <f t="shared" si="29"/>
        <v>0.04</v>
      </c>
      <c r="AV38" s="81">
        <f>Volatilities_Resets!$E27*0.01</f>
        <v>2.9596499999999998E-2</v>
      </c>
      <c r="AW38" s="82">
        <f>IF(AU38=AX$11,Volatilities_Resets!$AA27,IF(AU38&gt;=AW$11,IF(AU38&lt;AX$11,(((Volatilities_Resets!$AA27-Volatilities_Resets!$Y27)/50)*((Calculator!AU38-Calculator!AW$11)*10000)+Volatilities_Resets!$Y27)),IF(AU38&gt;=AW$10,IF(AU38&lt;AX$10,(((Volatilities_Resets!$Y27-Volatilities_Resets!$W27)/50)*((Calculator!AU38-Calculator!AW$10)*10000)+Volatilities_Resets!$W27)),IF(AU38&gt;=AW$9,IF(AU38&lt;AX$9,(((Volatilities_Resets!$W27-Volatilities_Resets!$U27)/50)*((Calculator!AU38-Calculator!AW$9)*10000)+Volatilities_Resets!$U27)),IF(AU38&gt;=AW$8,IF(AU38&lt;AX$8,(((Volatilities_Resets!$U27-Volatilities_Resets!$S27)/50)*((Calculator!AU38-Calculator!AW$8)*10000)+Volatilities_Resets!$S27)),IF(AU38&gt;=AW$7,IF(AU38&lt;AX$7,(((Volatilities_Resets!$S27-Volatilities_Resets!$Q27)/50)*((Calculator!AU38-Calculator!AW$7)*10000)+Volatilities_Resets!$Q27)),IF(AU38&gt;=AW$6,IF(AU38&lt;AX$6,(((Volatilities_Resets!$Q27-Volatilities_Resets!$O27)/50)*((Calculator!AU38-Calculator!AW$6)*10000)+Volatilities_Resets!$O27)),IF(AU38&gt;=AW$5,IF(AU38&lt;AX$5,(((Volatilities_Resets!$O27-Volatilities_Resets!$M27)/50)*((Calculator!AU38-Calculator!AW$5)*10000)+Volatilities_Resets!$M27)),IF(AU38&gt;=AW$4,IF(AU38&lt;AX$4,(((Volatilities_Resets!$M27-Volatilities_Resets!$K27)/50)*((Calculator!AU38-Calculator!AW$4)*10000)+Volatilities_Resets!$K27)),IF(AU38&gt;=AW$3,IF(AU38&lt;AX$3,(((Volatilities_Resets!$K27-Volatilities_Resets!$I27)/50)*((Calculator!AU38-Calculator!AW$3)*10000)+Volatilities_Resets!$I27)),IF(AU38&gt;=AW$2,IF(AU38&lt;AX$2,(((Volatilities_Resets!$I27-Volatilities_Resets!$G27)/50)*((Calculator!AU38-Calculator!AW$2)*10000)+Volatilities_Resets!$G27)),"Well, something broke...")))))))))))/10000</f>
        <v>1.9446999999999999E-2</v>
      </c>
      <c r="AX38" s="84">
        <f t="shared" ca="1" si="30"/>
        <v>11914.032163994347</v>
      </c>
      <c r="AY38" s="84">
        <f t="shared" ca="1" si="31"/>
        <v>4.8037452784674764E-4</v>
      </c>
      <c r="AZ38" s="84">
        <f t="shared" ca="1" si="46"/>
        <v>397021.38122554944</v>
      </c>
      <c r="BA38" s="84">
        <f ca="1">SUM(AX27:AX38)</f>
        <v>161792.52396463288</v>
      </c>
      <c r="BB38" s="49"/>
      <c r="BC38" s="84">
        <f t="shared" ca="1" si="8"/>
        <v>88.186888707869414</v>
      </c>
      <c r="BD38" s="84">
        <f ca="1">SUM($BC$15:BC38)</f>
        <v>1681.7891306749195</v>
      </c>
      <c r="BF38" s="52">
        <f ca="1">EXP(-AVERAGE(AV$15:AV38)*AS38)</f>
        <v>0.92505962325668056</v>
      </c>
      <c r="BH38" s="75">
        <f t="shared" ca="1" si="32"/>
        <v>24</v>
      </c>
      <c r="BI38" s="76">
        <f t="shared" ca="1" si="33"/>
        <v>45711</v>
      </c>
      <c r="BJ38" s="76">
        <f t="shared" ca="1" si="9"/>
        <v>45739</v>
      </c>
      <c r="BK38" s="77">
        <f t="shared" ca="1" si="10"/>
        <v>28</v>
      </c>
      <c r="BL38" s="78">
        <f ca="1">SUM(BK$15:BK38)/360</f>
        <v>2.0305555555555554</v>
      </c>
      <c r="BM38" s="79">
        <f t="shared" si="11"/>
        <v>25000000</v>
      </c>
      <c r="BN38" s="80">
        <f t="shared" si="34"/>
        <v>0.05</v>
      </c>
      <c r="BO38" s="81">
        <f>Volatilities_Resets!$E27*0.01</f>
        <v>2.9596499999999998E-2</v>
      </c>
      <c r="BP38" s="82">
        <f>IF(BN38=BQ$11,Volatilities_Resets!$AA27,IF(BN38&gt;=BP$11,IF(BN38&lt;BQ$11,(((Volatilities_Resets!$AA27-Volatilities_Resets!$Y27)/50)*((Calculator!BN38-Calculator!BP$11)*10000)+Volatilities_Resets!$Y27)),IF(BN38&gt;=BP$10,IF(BN38&lt;BQ$10,(((Volatilities_Resets!$Y27-Volatilities_Resets!$W27)/50)*((Calculator!BN38-Calculator!BP$10)*10000)+Volatilities_Resets!$W27)),IF(BN38&gt;=BP$9,IF(BN38&lt;BQ$9,(((Volatilities_Resets!$W27-Volatilities_Resets!$U27)/50)*((Calculator!BN38-Calculator!BP$9)*10000)+Volatilities_Resets!$U27)),IF(BN38&gt;=BP$8,IF(BN38&lt;BQ$8,(((Volatilities_Resets!$U27-Volatilities_Resets!$S27)/50)*((Calculator!BN38-Calculator!BP$8)*10000)+Volatilities_Resets!$S27)),IF(BN38&gt;=BP$7,IF(BN38&lt;BQ$7,(((Volatilities_Resets!$S27-Volatilities_Resets!$Q27)/50)*((Calculator!BN38-Calculator!BP$7)*10000)+Volatilities_Resets!$Q27)),IF(BN38&gt;=BP$6,IF(BN38&lt;BQ$6,(((Volatilities_Resets!$Q27-Volatilities_Resets!$O27)/50)*((Calculator!BN38-Calculator!BP$6)*10000)+Volatilities_Resets!$O27)),IF(BN38&gt;=BP$5,IF(BN38&lt;BQ$5,(((Volatilities_Resets!$O27-Volatilities_Resets!$M27)/50)*((Calculator!BN38-Calculator!BP$5)*10000)+Volatilities_Resets!$M27)),IF(BN38&gt;=BP$4,IF(BN38&lt;BQ$4,(((Volatilities_Resets!$M27-Volatilities_Resets!$K27)/50)*((Calculator!BN38-Calculator!BP$4)*10000)+Volatilities_Resets!$K27)),IF(BN38&gt;=BP$3,IF(BN38&lt;BQ$3,(((Volatilities_Resets!$K27-Volatilities_Resets!$I27)/50)*((Calculator!BN38-Calculator!BP$3)*10000)+Volatilities_Resets!$I27)),IF(BN38&gt;=BP$2,IF(BN38&lt;BQ$2,(((Volatilities_Resets!$I27-Volatilities_Resets!$G27)/50)*((Calculator!BN38-Calculator!BP$2)*10000)+Volatilities_Resets!$G27)),"Well, something broke...")))))))))))/10000</f>
        <v>1.8571999999999998E-2</v>
      </c>
      <c r="BQ38" s="84">
        <f t="shared" ca="1" si="35"/>
        <v>6020.785785576275</v>
      </c>
      <c r="BR38" s="84">
        <f t="shared" ca="1" si="36"/>
        <v>2.4387485486125217E-4</v>
      </c>
      <c r="BS38" s="84">
        <f t="shared" ca="1" si="47"/>
        <v>172736.23564216419</v>
      </c>
      <c r="BT38" s="84">
        <f ca="1">SUM(BQ27:BQ38)</f>
        <v>85181.123623203952</v>
      </c>
      <c r="BU38" s="49"/>
      <c r="BV38" s="84">
        <f t="shared" ca="1" si="37"/>
        <v>70.383703478822909</v>
      </c>
      <c r="BW38" s="84">
        <f ca="1">SUM($BV$15:BV38)</f>
        <v>1492.2099736844691</v>
      </c>
      <c r="BY38" s="52">
        <f ca="1">EXP(-AVERAGE(BO$15:BO38)*BL38)</f>
        <v>0.92505962325668056</v>
      </c>
      <c r="CA38" s="75">
        <f t="shared" ca="1" si="38"/>
        <v>24</v>
      </c>
      <c r="CB38" s="76">
        <f t="shared" ca="1" si="39"/>
        <v>45711</v>
      </c>
      <c r="CC38" s="76">
        <f t="shared" ca="1" si="12"/>
        <v>45739</v>
      </c>
      <c r="CD38" s="77">
        <f t="shared" ca="1" si="13"/>
        <v>28</v>
      </c>
      <c r="CE38" s="78">
        <f ca="1">SUM(CD$15:CD38)/360</f>
        <v>2.0305555555555554</v>
      </c>
      <c r="CF38" s="79">
        <f t="shared" si="14"/>
        <v>25000000</v>
      </c>
      <c r="CG38" s="80">
        <f t="shared" si="40"/>
        <v>0.06</v>
      </c>
      <c r="CH38" s="81">
        <f>Volatilities_Resets!$E27*0.01</f>
        <v>2.9596499999999998E-2</v>
      </c>
      <c r="CI38" s="82">
        <f>IF(CG38=CJ$11,Volatilities_Resets!$AA27,IF(CG38&gt;=CI$11,IF(CG38&lt;CJ$11,(((Volatilities_Resets!$AA27-Volatilities_Resets!$Y27)/50)*((Calculator!CG38-Calculator!CI$11)*10000)+Volatilities_Resets!$Y27)),IF(CG38&gt;=CI$10,IF(CG38&lt;CJ$10,(((Volatilities_Resets!$Y27-Volatilities_Resets!$W27)/50)*((Calculator!CG38-Calculator!CI$10)*10000)+Volatilities_Resets!$W27)),IF(CG38&gt;=CI$9,IF(CG38&lt;CJ$9,(((Volatilities_Resets!$W27-Volatilities_Resets!$U27)/50)*((Calculator!CG38-Calculator!CI$9)*10000)+Volatilities_Resets!$U27)),IF(CG38&gt;=CI$8,IF(CG38&lt;CJ$8,(((Volatilities_Resets!$U27-Volatilities_Resets!$S27)/50)*((Calculator!CG38-Calculator!CI$8)*10000)+Volatilities_Resets!$S27)),IF(CG38&gt;=CI$7,IF(CG38&lt;CJ$7,(((Volatilities_Resets!$S27-Volatilities_Resets!$Q27)/50)*((Calculator!CG38-Calculator!CI$7)*10000)+Volatilities_Resets!$Q27)),IF(CG38&gt;=CI$6,IF(CG38&lt;CJ$6,(((Volatilities_Resets!$Q27-Volatilities_Resets!$O27)/50)*((Calculator!CG38-Calculator!CI$6)*10000)+Volatilities_Resets!$O27)),IF(CG38&gt;=CI$5,IF(CG38&lt;CJ$5,(((Volatilities_Resets!$O27-Volatilities_Resets!$M27)/50)*((Calculator!CG38-Calculator!CI$5)*10000)+Volatilities_Resets!$M27)),IF(CG38&gt;=CI$4,IF(CG38&lt;CJ$4,(((Volatilities_Resets!$M27-Volatilities_Resets!$K27)/50)*((Calculator!CG38-Calculator!CI$4)*10000)+Volatilities_Resets!$K27)),IF(CG38&gt;=CI$3,IF(CG38&lt;CJ$3,(((Volatilities_Resets!$K27-Volatilities_Resets!$I27)/50)*((Calculator!CG38-Calculator!CI$3)*10000)+Volatilities_Resets!$I27)),IF(CG38&gt;=CI$2,IF(CG38&lt;CJ$2,(((Volatilities_Resets!$I27-Volatilities_Resets!$G27)/50)*((Calculator!CG38-Calculator!CI$2)*10000)+Volatilities_Resets!$G27)),"Well, something broke...")))))))))))/10000</f>
        <v>1.8902000000000002E-2</v>
      </c>
      <c r="CJ38" s="84">
        <f t="shared" ca="1" si="41"/>
        <v>3139.6876533692975</v>
      </c>
      <c r="CK38" s="84">
        <f t="shared" ca="1" si="42"/>
        <v>1.277578265759112E-4</v>
      </c>
      <c r="CL38" s="84">
        <f t="shared" ca="1" si="48"/>
        <v>68483.433766395145</v>
      </c>
      <c r="CM38" s="84">
        <f ca="1">SUM(CJ27:CJ38)</f>
        <v>47197.66977752847</v>
      </c>
      <c r="CN38" s="49"/>
      <c r="CO38" s="84">
        <f t="shared" ca="1" si="43"/>
        <v>50.191895240664735</v>
      </c>
      <c r="CP38" s="84">
        <f ca="1">SUM($CO$15:CO38)</f>
        <v>989.28658920854775</v>
      </c>
      <c r="CR38" s="52">
        <f ca="1">EXP(-AVERAGE(CH$15:CH38)*CE38)</f>
        <v>0.92505962325668056</v>
      </c>
      <c r="CT38"/>
      <c r="CU38"/>
      <c r="CV38"/>
      <c r="CW38"/>
      <c r="CX38"/>
      <c r="CY38"/>
      <c r="CZ38"/>
      <c r="DA38"/>
      <c r="DB38"/>
      <c r="DC38"/>
      <c r="DD38"/>
      <c r="DE38"/>
      <c r="DF38"/>
      <c r="DG38"/>
      <c r="DH38"/>
      <c r="DI38"/>
      <c r="DJ38"/>
      <c r="DK38"/>
      <c r="DL38"/>
    </row>
    <row r="39" spans="2:116" ht="15.75" customHeight="1">
      <c r="B39" s="52">
        <v>3</v>
      </c>
      <c r="C39" s="52">
        <f t="shared" ca="1" si="15"/>
        <v>25</v>
      </c>
      <c r="D39" s="71">
        <f t="shared" ca="1" si="16"/>
        <v>45739</v>
      </c>
      <c r="E39" s="71">
        <f t="shared" ca="1" si="0"/>
        <v>45770</v>
      </c>
      <c r="F39" s="72">
        <f t="shared" ca="1" si="1"/>
        <v>31</v>
      </c>
      <c r="G39" s="73">
        <f ca="1">SUM($F$15:F39)/360</f>
        <v>2.1166666666666667</v>
      </c>
      <c r="H39" s="74">
        <f t="shared" si="2"/>
        <v>25000000</v>
      </c>
      <c r="I39" s="59">
        <f>IF('Cap Pricer'!$E$22=DataValidation!$C$2,'Cap Pricer'!$E$23,IF('Cap Pricer'!$E$22=DataValidation!$C$3,VLOOKUP($B39,'Cap Pricer'!$C$25:$E$31,3),""))</f>
        <v>0.02</v>
      </c>
      <c r="J39" s="57">
        <f>Volatilities_Resets!$E28*0.01</f>
        <v>2.8767399999999999E-2</v>
      </c>
      <c r="K39" s="61">
        <f>IF(I39=L$11,Volatilities_Resets!$AA28,IF(I39&gt;=K$11,IF(I39&lt;L$11,(((Volatilities_Resets!$AA28-Volatilities_Resets!$Y28)/50)*((Calculator!I39-Calculator!K$11)*10000)+Volatilities_Resets!$Y28)),IF(I39&gt;=K$10,IF(I39&lt;L$10,(((Volatilities_Resets!$Y28-Volatilities_Resets!$W28)/50)*((Calculator!I39-Calculator!K$10)*10000)+Volatilities_Resets!$W28)),IF(I39&gt;=K$9,IF(I39&lt;L$9,(((Volatilities_Resets!$W28-Volatilities_Resets!$U28)/50)*((Calculator!I39-Calculator!K$9)*10000)+Volatilities_Resets!$U28)),IF(I39&gt;=K$8,IF(I39&lt;L$8,(((Volatilities_Resets!$U28-Volatilities_Resets!$S28)/50)*((Calculator!I39-Calculator!K$8)*10000)+Volatilities_Resets!$S28)),IF(I39&gt;=K$7,IF(I39&lt;L$7,(((Volatilities_Resets!$S28-Volatilities_Resets!$Q28)/50)*((Calculator!I39-Calculator!K$7)*10000)+Volatilities_Resets!$Q28)),IF(I39&gt;=K$6,IF(I39&lt;L$6,(((Volatilities_Resets!$Q28-Volatilities_Resets!$O28)/50)*((Calculator!I39-Calculator!K$6)*10000)+Volatilities_Resets!$O28)),IF(I39&gt;=K$5,IF(I39&lt;L$5,(((Volatilities_Resets!$O28-Volatilities_Resets!$M28)/50)*((Calculator!I39-Calculator!K$5)*10000)+Volatilities_Resets!$M28)),IF(I39&gt;=K$4,IF(I39&lt;L$4,(((Volatilities_Resets!$M28-Volatilities_Resets!$K28)/50)*((Calculator!I39-Calculator!K$4)*10000)+Volatilities_Resets!$K28)),IF(I39&gt;=K$3,IF(I39&lt;L$3,(((Volatilities_Resets!$K28-Volatilities_Resets!$I28)/50)*((Calculator!I39-Calculator!K$3)*10000)+Volatilities_Resets!$I28)),IF(I39&gt;=K$2,IF(I39&lt;L$2,(((Volatilities_Resets!$I28-Volatilities_Resets!$G28)/50)*((Calculator!I39-Calculator!K$2)*10000)+Volatilities_Resets!$G28)),"Well, something broke...")))))))))))/10000</f>
        <v>1.7149999999999999E-2</v>
      </c>
      <c r="L39" s="47">
        <f t="shared" ca="1" si="17"/>
        <v>29690.189959527295</v>
      </c>
      <c r="M39" s="63">
        <f t="shared" ca="1" si="18"/>
        <v>1.1919449803329616E-3</v>
      </c>
      <c r="N39" s="63">
        <f t="shared" ca="1" si="44"/>
        <v>1096835.616726941</v>
      </c>
      <c r="Q39" s="63">
        <f t="shared" ca="1" si="19"/>
        <v>100.05886029675851</v>
      </c>
      <c r="R39" s="63">
        <f ca="1">SUM($Q$15:Q39)</f>
        <v>1439.9146218792994</v>
      </c>
      <c r="T39" s="52">
        <f ca="1">EXP(-AVERAGE(J$15:J39)*G39)</f>
        <v>0.92275811913336747</v>
      </c>
      <c r="U39" s="57"/>
      <c r="V39" s="52">
        <f t="shared" ca="1" si="20"/>
        <v>25</v>
      </c>
      <c r="W39" s="71">
        <f t="shared" ca="1" si="21"/>
        <v>45739</v>
      </c>
      <c r="X39" s="71">
        <f t="shared" ca="1" si="3"/>
        <v>45770</v>
      </c>
      <c r="Y39" s="72">
        <f t="shared" ca="1" si="4"/>
        <v>31</v>
      </c>
      <c r="Z39" s="73">
        <f ca="1">SUM(Y$15:Y39)/360</f>
        <v>2.1166666666666667</v>
      </c>
      <c r="AA39" s="74">
        <f t="shared" si="22"/>
        <v>25000000</v>
      </c>
      <c r="AB39" s="59">
        <f t="shared" si="23"/>
        <v>0.03</v>
      </c>
      <c r="AC39" s="57">
        <f>Volatilities_Resets!$E28*0.01</f>
        <v>2.8767399999999999E-2</v>
      </c>
      <c r="AD39" s="61">
        <f>IF(AB39=AE$11,Volatilities_Resets!$AA28,IF(AB39&gt;=AD$11,IF(AB39&lt;AE$11,(((Volatilities_Resets!$AA28-Volatilities_Resets!$Y28)/50)*((Calculator!AB39-Calculator!AD$11)*10000)+Volatilities_Resets!$Y28)),IF(AB39&gt;=AD$10,IF(AB39&lt;AE$10,(((Volatilities_Resets!$Y28-Volatilities_Resets!$W28)/50)*((Calculator!AB39-Calculator!AD$10)*10000)+Volatilities_Resets!$W28)),IF(AB39&gt;=AD$9,IF(AB39&lt;AE$9,(((Volatilities_Resets!$W28-Volatilities_Resets!$U28)/50)*((Calculator!AB39-Calculator!AD$9)*10000)+Volatilities_Resets!$U28)),IF(AB39&gt;=AD$8,IF(AB39&lt;AE$8,(((Volatilities_Resets!$U28-Volatilities_Resets!$S28)/50)*((Calculator!AB39-Calculator!AD$8)*10000)+Volatilities_Resets!$S28)),IF(AB39&gt;=AD$7,IF(AB39&lt;AE$7,(((Volatilities_Resets!$S28-Volatilities_Resets!$Q28)/50)*((Calculator!AB39-Calculator!AD$7)*10000)+Volatilities_Resets!$Q28)),IF(AB39&gt;=AD$6,IF(AB39&lt;AE$6,(((Volatilities_Resets!$Q28-Volatilities_Resets!$O28)/50)*((Calculator!AB39-Calculator!AD$6)*10000)+Volatilities_Resets!$O28)),IF(AB39&gt;=AD$5,IF(AB39&lt;AE$5,(((Volatilities_Resets!$O28-Volatilities_Resets!$M28)/50)*((Calculator!AB39-Calculator!AD$5)*10000)+Volatilities_Resets!$M28)),IF(AB39&gt;=AD$4,IF(AB39&lt;AE$4,(((Volatilities_Resets!$M28-Volatilities_Resets!$K28)/50)*((Calculator!AB39-Calculator!AD$4)*10000)+Volatilities_Resets!$K28)),IF(AB39&gt;=AD$3,IF(AB39&lt;AE$3,(((Volatilities_Resets!$K28-Volatilities_Resets!$I28)/50)*((Calculator!AB39-Calculator!AD$3)*10000)+Volatilities_Resets!$I28)),IF(AB39&gt;=AD$2,IF(AB39&lt;AE$2,(((Volatilities_Resets!$I28-Volatilities_Resets!$G28)/50)*((Calculator!AB39-Calculator!AD$2)*10000)+Volatilities_Resets!$G28)),"Well, something broke...")))))))))))/10000</f>
        <v>1.7623E-2</v>
      </c>
      <c r="AE39" s="63">
        <f t="shared" ca="1" si="24"/>
        <v>19118.241718684814</v>
      </c>
      <c r="AF39" s="63">
        <f t="shared" ca="1" si="25"/>
        <v>7.6933630940726535E-4</v>
      </c>
      <c r="AG39" s="63">
        <f t="shared" ca="1" si="45"/>
        <v>725853.02653919882</v>
      </c>
      <c r="AJ39" s="63">
        <f t="shared" ca="1" si="26"/>
        <v>106.27037677068796</v>
      </c>
      <c r="AK39" s="63">
        <f ca="1">SUM($AJ$15:AJ39)</f>
        <v>1699.5173236066319</v>
      </c>
      <c r="AM39" s="52">
        <f ca="1">EXP(-AVERAGE(AC$15:AC39)*Z39)</f>
        <v>0.92275811913336747</v>
      </c>
      <c r="AO39" s="52">
        <f t="shared" ca="1" si="27"/>
        <v>25</v>
      </c>
      <c r="AP39" s="71">
        <f t="shared" ca="1" si="28"/>
        <v>45739</v>
      </c>
      <c r="AQ39" s="71">
        <f t="shared" ca="1" si="5"/>
        <v>45770</v>
      </c>
      <c r="AR39" s="72">
        <f t="shared" ca="1" si="6"/>
        <v>31</v>
      </c>
      <c r="AS39" s="73">
        <f ca="1">SUM(AR$15:AR39)/360</f>
        <v>2.1166666666666667</v>
      </c>
      <c r="AT39" s="74">
        <f t="shared" si="7"/>
        <v>25000000</v>
      </c>
      <c r="AU39" s="59">
        <f t="shared" si="29"/>
        <v>0.04</v>
      </c>
      <c r="AV39" s="57">
        <f>Volatilities_Resets!$E28*0.01</f>
        <v>2.8767399999999999E-2</v>
      </c>
      <c r="AW39" s="61">
        <f>IF(AU39=AX$11,Volatilities_Resets!$AA28,IF(AU39&gt;=AW$11,IF(AU39&lt;AX$11,(((Volatilities_Resets!$AA28-Volatilities_Resets!$Y28)/50)*((Calculator!AU39-Calculator!AW$11)*10000)+Volatilities_Resets!$Y28)),IF(AU39&gt;=AW$10,IF(AU39&lt;AX$10,(((Volatilities_Resets!$Y28-Volatilities_Resets!$W28)/50)*((Calculator!AU39-Calculator!AW$10)*10000)+Volatilities_Resets!$W28)),IF(AU39&gt;=AW$9,IF(AU39&lt;AX$9,(((Volatilities_Resets!$W28-Volatilities_Resets!$U28)/50)*((Calculator!AU39-Calculator!AW$9)*10000)+Volatilities_Resets!$U28)),IF(AU39&gt;=AW$8,IF(AU39&lt;AX$8,(((Volatilities_Resets!$U28-Volatilities_Resets!$S28)/50)*((Calculator!AU39-Calculator!AW$8)*10000)+Volatilities_Resets!$S28)),IF(AU39&gt;=AW$7,IF(AU39&lt;AX$7,(((Volatilities_Resets!$S28-Volatilities_Resets!$Q28)/50)*((Calculator!AU39-Calculator!AW$7)*10000)+Volatilities_Resets!$Q28)),IF(AU39&gt;=AW$6,IF(AU39&lt;AX$6,(((Volatilities_Resets!$Q28-Volatilities_Resets!$O28)/50)*((Calculator!AU39-Calculator!AW$6)*10000)+Volatilities_Resets!$O28)),IF(AU39&gt;=AW$5,IF(AU39&lt;AX$5,(((Volatilities_Resets!$O28-Volatilities_Resets!$M28)/50)*((Calculator!AU39-Calculator!AW$5)*10000)+Volatilities_Resets!$M28)),IF(AU39&gt;=AW$4,IF(AU39&lt;AX$4,(((Volatilities_Resets!$M28-Volatilities_Resets!$K28)/50)*((Calculator!AU39-Calculator!AW$4)*10000)+Volatilities_Resets!$K28)),IF(AU39&gt;=AW$3,IF(AU39&lt;AX$3,(((Volatilities_Resets!$K28-Volatilities_Resets!$I28)/50)*((Calculator!AU39-Calculator!AW$3)*10000)+Volatilities_Resets!$I28)),IF(AU39&gt;=AW$2,IF(AU39&lt;AX$2,(((Volatilities_Resets!$I28-Volatilities_Resets!$G28)/50)*((Calculator!AU39-Calculator!AW$2)*10000)+Volatilities_Resets!$G28)),"Well, something broke...")))))))))))/10000</f>
        <v>1.857E-2</v>
      </c>
      <c r="AX39" s="63">
        <f t="shared" ca="1" si="30"/>
        <v>12078.476115775646</v>
      </c>
      <c r="AY39" s="63">
        <f t="shared" ca="1" si="31"/>
        <v>4.8737107952291371E-4</v>
      </c>
      <c r="AZ39" s="63">
        <f t="shared" ca="1" si="46"/>
        <v>409099.85734132509</v>
      </c>
      <c r="BC39" s="63">
        <f t="shared" ca="1" si="8"/>
        <v>97.628613923631363</v>
      </c>
      <c r="BD39" s="63">
        <f ca="1">SUM($BC$15:BC39)</f>
        <v>1779.4177445985508</v>
      </c>
      <c r="BF39" s="52">
        <f ca="1">EXP(-AVERAGE(AV$15:AV39)*AS39)</f>
        <v>0.92275811913336747</v>
      </c>
      <c r="BH39" s="52">
        <f t="shared" ca="1" si="32"/>
        <v>25</v>
      </c>
      <c r="BI39" s="71">
        <f t="shared" ca="1" si="33"/>
        <v>45739</v>
      </c>
      <c r="BJ39" s="71">
        <f t="shared" ca="1" si="9"/>
        <v>45770</v>
      </c>
      <c r="BK39" s="72">
        <f t="shared" ca="1" si="10"/>
        <v>31</v>
      </c>
      <c r="BL39" s="73">
        <f ca="1">SUM(BK$15:BK39)/360</f>
        <v>2.1166666666666667</v>
      </c>
      <c r="BM39" s="74">
        <f t="shared" si="11"/>
        <v>25000000</v>
      </c>
      <c r="BN39" s="59">
        <f t="shared" si="34"/>
        <v>0.05</v>
      </c>
      <c r="BO39" s="57">
        <f>Volatilities_Resets!$E28*0.01</f>
        <v>2.8767399999999999E-2</v>
      </c>
      <c r="BP39" s="61">
        <f>IF(BN39=BQ$11,Volatilities_Resets!$AA28,IF(BN39&gt;=BP$11,IF(BN39&lt;BQ$11,(((Volatilities_Resets!$AA28-Volatilities_Resets!$Y28)/50)*((Calculator!BN39-Calculator!BP$11)*10000)+Volatilities_Resets!$Y28)),IF(BN39&gt;=BP$10,IF(BN39&lt;BQ$10,(((Volatilities_Resets!$Y28-Volatilities_Resets!$W28)/50)*((Calculator!BN39-Calculator!BP$10)*10000)+Volatilities_Resets!$W28)),IF(BN39&gt;=BP$9,IF(BN39&lt;BQ$9,(((Volatilities_Resets!$W28-Volatilities_Resets!$U28)/50)*((Calculator!BN39-Calculator!BP$9)*10000)+Volatilities_Resets!$U28)),IF(BN39&gt;=BP$8,IF(BN39&lt;BQ$8,(((Volatilities_Resets!$U28-Volatilities_Resets!$S28)/50)*((Calculator!BN39-Calculator!BP$8)*10000)+Volatilities_Resets!$S28)),IF(BN39&gt;=BP$7,IF(BN39&lt;BQ$7,(((Volatilities_Resets!$S28-Volatilities_Resets!$Q28)/50)*((Calculator!BN39-Calculator!BP$7)*10000)+Volatilities_Resets!$Q28)),IF(BN39&gt;=BP$6,IF(BN39&lt;BQ$6,(((Volatilities_Resets!$Q28-Volatilities_Resets!$O28)/50)*((Calculator!BN39-Calculator!BP$6)*10000)+Volatilities_Resets!$O28)),IF(BN39&gt;=BP$5,IF(BN39&lt;BQ$5,(((Volatilities_Resets!$O28-Volatilities_Resets!$M28)/50)*((Calculator!BN39-Calculator!BP$5)*10000)+Volatilities_Resets!$M28)),IF(BN39&gt;=BP$4,IF(BN39&lt;BQ$4,(((Volatilities_Resets!$M28-Volatilities_Resets!$K28)/50)*((Calculator!BN39-Calculator!BP$4)*10000)+Volatilities_Resets!$K28)),IF(BN39&gt;=BP$3,IF(BN39&lt;BQ$3,(((Volatilities_Resets!$K28-Volatilities_Resets!$I28)/50)*((Calculator!BN39-Calculator!BP$3)*10000)+Volatilities_Resets!$I28)),IF(BN39&gt;=BP$2,IF(BN39&lt;BQ$2,(((Volatilities_Resets!$I28-Volatilities_Resets!$G28)/50)*((Calculator!BN39-Calculator!BP$2)*10000)+Volatilities_Resets!$G28)),"Well, something broke...")))))))))))/10000</f>
        <v>1.8843000000000002E-2</v>
      </c>
      <c r="BQ39" s="63">
        <f t="shared" ca="1" si="35"/>
        <v>6845.5184412835742</v>
      </c>
      <c r="BR39" s="63">
        <f t="shared" ca="1" si="36"/>
        <v>2.7724299037176206E-4</v>
      </c>
      <c r="BS39" s="63">
        <f t="shared" ca="1" si="47"/>
        <v>179581.75408344777</v>
      </c>
      <c r="BV39" s="63">
        <f t="shared" ca="1" si="37"/>
        <v>78.947787087323945</v>
      </c>
      <c r="BW39" s="63">
        <f ca="1">SUM($BV$15:BV39)</f>
        <v>1571.1577607717932</v>
      </c>
      <c r="BY39" s="52">
        <f ca="1">EXP(-AVERAGE(BO$15:BO39)*BL39)</f>
        <v>0.92275811913336747</v>
      </c>
      <c r="CA39" s="52">
        <f t="shared" ca="1" si="38"/>
        <v>25</v>
      </c>
      <c r="CB39" s="71">
        <f t="shared" ca="1" si="39"/>
        <v>45739</v>
      </c>
      <c r="CC39" s="71">
        <f t="shared" ca="1" si="12"/>
        <v>45770</v>
      </c>
      <c r="CD39" s="72">
        <f t="shared" ca="1" si="13"/>
        <v>31</v>
      </c>
      <c r="CE39" s="73">
        <f ca="1">SUM(CD$15:CD39)/360</f>
        <v>2.1166666666666667</v>
      </c>
      <c r="CF39" s="74">
        <f t="shared" si="14"/>
        <v>25000000</v>
      </c>
      <c r="CG39" s="59">
        <f t="shared" si="40"/>
        <v>0.06</v>
      </c>
      <c r="CH39" s="57">
        <f>Volatilities_Resets!$E28*0.01</f>
        <v>2.8767399999999999E-2</v>
      </c>
      <c r="CI39" s="61">
        <f>IF(CG39=CJ$11,Volatilities_Resets!$AA28,IF(CG39&gt;=CI$11,IF(CG39&lt;CJ$11,(((Volatilities_Resets!$AA28-Volatilities_Resets!$Y28)/50)*((Calculator!CG39-Calculator!CI$11)*10000)+Volatilities_Resets!$Y28)),IF(CG39&gt;=CI$10,IF(CG39&lt;CJ$10,(((Volatilities_Resets!$Y28-Volatilities_Resets!$W28)/50)*((Calculator!CG39-Calculator!CI$10)*10000)+Volatilities_Resets!$W28)),IF(CG39&gt;=CI$9,IF(CG39&lt;CJ$9,(((Volatilities_Resets!$W28-Volatilities_Resets!$U28)/50)*((Calculator!CG39-Calculator!CI$9)*10000)+Volatilities_Resets!$U28)),IF(CG39&gt;=CI$8,IF(CG39&lt;CJ$8,(((Volatilities_Resets!$U28-Volatilities_Resets!$S28)/50)*((Calculator!CG39-Calculator!CI$8)*10000)+Volatilities_Resets!$S28)),IF(CG39&gt;=CI$7,IF(CG39&lt;CJ$7,(((Volatilities_Resets!$S28-Volatilities_Resets!$Q28)/50)*((Calculator!CG39-Calculator!CI$7)*10000)+Volatilities_Resets!$Q28)),IF(CG39&gt;=CI$6,IF(CG39&lt;CJ$6,(((Volatilities_Resets!$Q28-Volatilities_Resets!$O28)/50)*((Calculator!CG39-Calculator!CI$6)*10000)+Volatilities_Resets!$O28)),IF(CG39&gt;=CI$5,IF(CG39&lt;CJ$5,(((Volatilities_Resets!$O28-Volatilities_Resets!$M28)/50)*((Calculator!CG39-Calculator!CI$5)*10000)+Volatilities_Resets!$M28)),IF(CG39&gt;=CI$4,IF(CG39&lt;CJ$4,(((Volatilities_Resets!$M28-Volatilities_Resets!$K28)/50)*((Calculator!CG39-Calculator!CI$4)*10000)+Volatilities_Resets!$K28)),IF(CG39&gt;=CI$3,IF(CG39&lt;CJ$3,(((Volatilities_Resets!$K28-Volatilities_Resets!$I28)/50)*((Calculator!CG39-Calculator!CI$3)*10000)+Volatilities_Resets!$I28)),IF(CG39&gt;=CI$2,IF(CG39&lt;CJ$2,(((Volatilities_Resets!$I28-Volatilities_Resets!$G28)/50)*((Calculator!CG39-Calculator!CI$2)*10000)+Volatilities_Resets!$G28)),"Well, something broke...")))))))))))/10000</f>
        <v>1.9696000000000002E-2</v>
      </c>
      <c r="CJ39" s="63">
        <f t="shared" ca="1" si="41"/>
        <v>3984.3543012611462</v>
      </c>
      <c r="CK39" s="63">
        <f t="shared" ca="1" si="42"/>
        <v>1.6192817495127825E-4</v>
      </c>
      <c r="CL39" s="63">
        <f t="shared" ca="1" si="48"/>
        <v>72467.788067656293</v>
      </c>
      <c r="CO39" s="63">
        <f t="shared" ca="1" si="43"/>
        <v>58.918172825831647</v>
      </c>
      <c r="CP39" s="63">
        <f ca="1">SUM($CO$15:CO39)</f>
        <v>1048.2047620343794</v>
      </c>
      <c r="CR39" s="52">
        <f ca="1">EXP(-AVERAGE(CH$15:CH39)*CE39)</f>
        <v>0.92275811913336747</v>
      </c>
      <c r="CT39"/>
      <c r="CU39"/>
      <c r="CV39"/>
      <c r="CW39"/>
      <c r="CX39"/>
      <c r="CY39"/>
      <c r="CZ39"/>
      <c r="DA39"/>
      <c r="DB39"/>
      <c r="DC39"/>
      <c r="DD39"/>
      <c r="DE39"/>
      <c r="DF39"/>
      <c r="DG39"/>
      <c r="DH39"/>
      <c r="DI39"/>
      <c r="DJ39"/>
      <c r="DK39"/>
      <c r="DL39"/>
    </row>
    <row r="40" spans="2:116" ht="15.75" customHeight="1">
      <c r="B40" s="52">
        <v>3</v>
      </c>
      <c r="C40" s="52">
        <f t="shared" ca="1" si="15"/>
        <v>26</v>
      </c>
      <c r="D40" s="71">
        <f t="shared" ca="1" si="16"/>
        <v>45770</v>
      </c>
      <c r="E40" s="71">
        <f t="shared" ca="1" si="0"/>
        <v>45800</v>
      </c>
      <c r="F40" s="72">
        <f t="shared" ca="1" si="1"/>
        <v>30</v>
      </c>
      <c r="G40" s="73">
        <f ca="1">SUM($F$15:F40)/360</f>
        <v>2.2000000000000002</v>
      </c>
      <c r="H40" s="74">
        <f t="shared" si="2"/>
        <v>25000000</v>
      </c>
      <c r="I40" s="59">
        <f>IF('Cap Pricer'!$E$22=DataValidation!$C$2,'Cap Pricer'!$E$23,IF('Cap Pricer'!$E$22=DataValidation!$C$3,VLOOKUP($B40,'Cap Pricer'!$C$25:$E$31,3),""))</f>
        <v>0.02</v>
      </c>
      <c r="J40" s="57">
        <f>Volatilities_Resets!$E29*0.01</f>
        <v>2.8617200000000002E-2</v>
      </c>
      <c r="K40" s="61">
        <f>IF(I40=L$11,Volatilities_Resets!$AA29,IF(I40&gt;=K$11,IF(I40&lt;L$11,(((Volatilities_Resets!$AA29-Volatilities_Resets!$Y29)/50)*((Calculator!I40-Calculator!K$11)*10000)+Volatilities_Resets!$Y29)),IF(I40&gt;=K$10,IF(I40&lt;L$10,(((Volatilities_Resets!$Y29-Volatilities_Resets!$W29)/50)*((Calculator!I40-Calculator!K$10)*10000)+Volatilities_Resets!$W29)),IF(I40&gt;=K$9,IF(I40&lt;L$9,(((Volatilities_Resets!$W29-Volatilities_Resets!$U29)/50)*((Calculator!I40-Calculator!K$9)*10000)+Volatilities_Resets!$U29)),IF(I40&gt;=K$8,IF(I40&lt;L$8,(((Volatilities_Resets!$U29-Volatilities_Resets!$S29)/50)*((Calculator!I40-Calculator!K$8)*10000)+Volatilities_Resets!$S29)),IF(I40&gt;=K$7,IF(I40&lt;L$7,(((Volatilities_Resets!$S29-Volatilities_Resets!$Q29)/50)*((Calculator!I40-Calculator!K$7)*10000)+Volatilities_Resets!$Q29)),IF(I40&gt;=K$6,IF(I40&lt;L$6,(((Volatilities_Resets!$Q29-Volatilities_Resets!$O29)/50)*((Calculator!I40-Calculator!K$6)*10000)+Volatilities_Resets!$O29)),IF(I40&gt;=K$5,IF(I40&lt;L$5,(((Volatilities_Resets!$O29-Volatilities_Resets!$M29)/50)*((Calculator!I40-Calculator!K$5)*10000)+Volatilities_Resets!$M29)),IF(I40&gt;=K$4,IF(I40&lt;L$4,(((Volatilities_Resets!$M29-Volatilities_Resets!$K29)/50)*((Calculator!I40-Calculator!K$4)*10000)+Volatilities_Resets!$K29)),IF(I40&gt;=K$3,IF(I40&lt;L$3,(((Volatilities_Resets!$K29-Volatilities_Resets!$I29)/50)*((Calculator!I40-Calculator!K$3)*10000)+Volatilities_Resets!$I29)),IF(I40&gt;=K$2,IF(I40&lt;L$2,(((Volatilities_Resets!$I29-Volatilities_Resets!$G29)/50)*((Calculator!I40-Calculator!K$2)*10000)+Volatilities_Resets!$G29)),"Well, something broke...")))))))))))/10000</f>
        <v>1.7156000000000001E-2</v>
      </c>
      <c r="L40" s="47">
        <f t="shared" ca="1" si="17"/>
        <v>28838.52872745222</v>
      </c>
      <c r="M40" s="63">
        <f t="shared" ca="1" si="18"/>
        <v>1.1578290032652995E-3</v>
      </c>
      <c r="N40" s="63">
        <f t="shared" ca="1" si="44"/>
        <v>1125674.1454543932</v>
      </c>
      <c r="Q40" s="63">
        <f t="shared" ca="1" si="19"/>
        <v>98.681879260852327</v>
      </c>
      <c r="R40" s="63">
        <f ca="1">SUM($Q$15:Q40)</f>
        <v>1538.5965011401518</v>
      </c>
      <c r="T40" s="52">
        <f ca="1">EXP(-AVERAGE(J$15:J40)*G40)</f>
        <v>0.92057122665668489</v>
      </c>
      <c r="U40" s="57"/>
      <c r="V40" s="52">
        <f t="shared" ca="1" si="20"/>
        <v>26</v>
      </c>
      <c r="W40" s="71">
        <f t="shared" ca="1" si="21"/>
        <v>45770</v>
      </c>
      <c r="X40" s="71">
        <f t="shared" ca="1" si="3"/>
        <v>45800</v>
      </c>
      <c r="Y40" s="72">
        <f t="shared" ca="1" si="4"/>
        <v>30</v>
      </c>
      <c r="Z40" s="73">
        <f ca="1">SUM(Y$15:Y40)/360</f>
        <v>2.2000000000000002</v>
      </c>
      <c r="AA40" s="74">
        <f t="shared" si="22"/>
        <v>25000000</v>
      </c>
      <c r="AB40" s="59">
        <f t="shared" si="23"/>
        <v>0.03</v>
      </c>
      <c r="AC40" s="57">
        <f>Volatilities_Resets!$E29*0.01</f>
        <v>2.8617200000000002E-2</v>
      </c>
      <c r="AD40" s="61">
        <f>IF(AB40=AE$11,Volatilities_Resets!$AA29,IF(AB40&gt;=AD$11,IF(AB40&lt;AE$11,(((Volatilities_Resets!$AA29-Volatilities_Resets!$Y29)/50)*((Calculator!AB40-Calculator!AD$11)*10000)+Volatilities_Resets!$Y29)),IF(AB40&gt;=AD$10,IF(AB40&lt;AE$10,(((Volatilities_Resets!$Y29-Volatilities_Resets!$W29)/50)*((Calculator!AB40-Calculator!AD$10)*10000)+Volatilities_Resets!$W29)),IF(AB40&gt;=AD$9,IF(AB40&lt;AE$9,(((Volatilities_Resets!$W29-Volatilities_Resets!$U29)/50)*((Calculator!AB40-Calculator!AD$9)*10000)+Volatilities_Resets!$U29)),IF(AB40&gt;=AD$8,IF(AB40&lt;AE$8,(((Volatilities_Resets!$U29-Volatilities_Resets!$S29)/50)*((Calculator!AB40-Calculator!AD$8)*10000)+Volatilities_Resets!$S29)),IF(AB40&gt;=AD$7,IF(AB40&lt;AE$7,(((Volatilities_Resets!$S29-Volatilities_Resets!$Q29)/50)*((Calculator!AB40-Calculator!AD$7)*10000)+Volatilities_Resets!$Q29)),IF(AB40&gt;=AD$6,IF(AB40&lt;AE$6,(((Volatilities_Resets!$Q29-Volatilities_Resets!$O29)/50)*((Calculator!AB40-Calculator!AD$6)*10000)+Volatilities_Resets!$O29)),IF(AB40&gt;=AD$5,IF(AB40&lt;AE$5,(((Volatilities_Resets!$O29-Volatilities_Resets!$M29)/50)*((Calculator!AB40-Calculator!AD$5)*10000)+Volatilities_Resets!$M29)),IF(AB40&gt;=AD$4,IF(AB40&lt;AE$4,(((Volatilities_Resets!$M29-Volatilities_Resets!$K29)/50)*((Calculator!AB40-Calculator!AD$4)*10000)+Volatilities_Resets!$K29)),IF(AB40&gt;=AD$3,IF(AB40&lt;AE$3,(((Volatilities_Resets!$K29-Volatilities_Resets!$I29)/50)*((Calculator!AB40-Calculator!AD$3)*10000)+Volatilities_Resets!$I29)),IF(AB40&gt;=AD$2,IF(AB40&lt;AE$2,(((Volatilities_Resets!$I29-Volatilities_Resets!$G29)/50)*((Calculator!AB40-Calculator!AD$2)*10000)+Volatilities_Resets!$G29)),"Well, something broke...")))))))))))/10000</f>
        <v>1.7624999999999998E-2</v>
      </c>
      <c r="AE40" s="63">
        <f t="shared" ca="1" si="24"/>
        <v>18703.659020075855</v>
      </c>
      <c r="AF40" s="63">
        <f t="shared" ca="1" si="25"/>
        <v>7.5267944118594696E-4</v>
      </c>
      <c r="AG40" s="63">
        <f t="shared" ca="1" si="45"/>
        <v>744556.68555927463</v>
      </c>
      <c r="AJ40" s="63">
        <f t="shared" ca="1" si="26"/>
        <v>104.32558421578514</v>
      </c>
      <c r="AK40" s="63">
        <f ca="1">SUM($AJ$15:AJ40)</f>
        <v>1803.8429078224169</v>
      </c>
      <c r="AM40" s="52">
        <f ca="1">EXP(-AVERAGE(AC$15:AC40)*Z40)</f>
        <v>0.92057122665668489</v>
      </c>
      <c r="AO40" s="52">
        <f t="shared" ca="1" si="27"/>
        <v>26</v>
      </c>
      <c r="AP40" s="71">
        <f t="shared" ca="1" si="28"/>
        <v>45770</v>
      </c>
      <c r="AQ40" s="71">
        <f t="shared" ca="1" si="5"/>
        <v>45800</v>
      </c>
      <c r="AR40" s="72">
        <f t="shared" ca="1" si="6"/>
        <v>30</v>
      </c>
      <c r="AS40" s="73">
        <f ca="1">SUM(AR$15:AR40)/360</f>
        <v>2.2000000000000002</v>
      </c>
      <c r="AT40" s="74">
        <f t="shared" si="7"/>
        <v>25000000</v>
      </c>
      <c r="AU40" s="59">
        <f t="shared" si="29"/>
        <v>0.04</v>
      </c>
      <c r="AV40" s="57">
        <f>Volatilities_Resets!$E29*0.01</f>
        <v>2.8617200000000002E-2</v>
      </c>
      <c r="AW40" s="61">
        <f>IF(AU40=AX$11,Volatilities_Resets!$AA29,IF(AU40&gt;=AW$11,IF(AU40&lt;AX$11,(((Volatilities_Resets!$AA29-Volatilities_Resets!$Y29)/50)*((Calculator!AU40-Calculator!AW$11)*10000)+Volatilities_Resets!$Y29)),IF(AU40&gt;=AW$10,IF(AU40&lt;AX$10,(((Volatilities_Resets!$Y29-Volatilities_Resets!$W29)/50)*((Calculator!AU40-Calculator!AW$10)*10000)+Volatilities_Resets!$W29)),IF(AU40&gt;=AW$9,IF(AU40&lt;AX$9,(((Volatilities_Resets!$W29-Volatilities_Resets!$U29)/50)*((Calculator!AU40-Calculator!AW$9)*10000)+Volatilities_Resets!$U29)),IF(AU40&gt;=AW$8,IF(AU40&lt;AX$8,(((Volatilities_Resets!$U29-Volatilities_Resets!$S29)/50)*((Calculator!AU40-Calculator!AW$8)*10000)+Volatilities_Resets!$S29)),IF(AU40&gt;=AW$7,IF(AU40&lt;AX$7,(((Volatilities_Resets!$S29-Volatilities_Resets!$Q29)/50)*((Calculator!AU40-Calculator!AW$7)*10000)+Volatilities_Resets!$Q29)),IF(AU40&gt;=AW$6,IF(AU40&lt;AX$6,(((Volatilities_Resets!$Q29-Volatilities_Resets!$O29)/50)*((Calculator!AU40-Calculator!AW$6)*10000)+Volatilities_Resets!$O29)),IF(AU40&gt;=AW$5,IF(AU40&lt;AX$5,(((Volatilities_Resets!$O29-Volatilities_Resets!$M29)/50)*((Calculator!AU40-Calculator!AW$5)*10000)+Volatilities_Resets!$M29)),IF(AU40&gt;=AW$4,IF(AU40&lt;AX$4,(((Volatilities_Resets!$M29-Volatilities_Resets!$K29)/50)*((Calculator!AU40-Calculator!AW$4)*10000)+Volatilities_Resets!$K29)),IF(AU40&gt;=AW$3,IF(AU40&lt;AX$3,(((Volatilities_Resets!$K29-Volatilities_Resets!$I29)/50)*((Calculator!AU40-Calculator!AW$3)*10000)+Volatilities_Resets!$I29)),IF(AU40&gt;=AW$2,IF(AU40&lt;AX$2,(((Volatilities_Resets!$I29-Volatilities_Resets!$G29)/50)*((Calculator!AU40-Calculator!AW$2)*10000)+Volatilities_Resets!$G29)),"Well, something broke...")))))))))))/10000</f>
        <v>1.8565000000000002E-2</v>
      </c>
      <c r="AX40" s="63">
        <f t="shared" ca="1" si="30"/>
        <v>11928.020646089324</v>
      </c>
      <c r="AY40" s="63">
        <f t="shared" ca="1" si="31"/>
        <v>4.8129039065380222E-4</v>
      </c>
      <c r="AZ40" s="63">
        <f t="shared" ca="1" si="46"/>
        <v>421027.87798741442</v>
      </c>
      <c r="BC40" s="63">
        <f t="shared" ca="1" si="8"/>
        <v>95.959534799431808</v>
      </c>
      <c r="BD40" s="63">
        <f ca="1">SUM($BC$15:BC40)</f>
        <v>1875.3772793979826</v>
      </c>
      <c r="BF40" s="52">
        <f ca="1">EXP(-AVERAGE(AV$15:AV40)*AS40)</f>
        <v>0.92057122665668489</v>
      </c>
      <c r="BH40" s="52">
        <f t="shared" ca="1" si="32"/>
        <v>26</v>
      </c>
      <c r="BI40" s="71">
        <f t="shared" ca="1" si="33"/>
        <v>45770</v>
      </c>
      <c r="BJ40" s="71">
        <f t="shared" ca="1" si="9"/>
        <v>45800</v>
      </c>
      <c r="BK40" s="72">
        <f t="shared" ca="1" si="10"/>
        <v>30</v>
      </c>
      <c r="BL40" s="73">
        <f ca="1">SUM(BK$15:BK40)/360</f>
        <v>2.2000000000000002</v>
      </c>
      <c r="BM40" s="74">
        <f t="shared" si="11"/>
        <v>25000000</v>
      </c>
      <c r="BN40" s="59">
        <f t="shared" si="34"/>
        <v>0.05</v>
      </c>
      <c r="BO40" s="57">
        <f>Volatilities_Resets!$E29*0.01</f>
        <v>2.8617200000000002E-2</v>
      </c>
      <c r="BP40" s="61">
        <f>IF(BN40=BQ$11,Volatilities_Resets!$AA29,IF(BN40&gt;=BP$11,IF(BN40&lt;BQ$11,(((Volatilities_Resets!$AA29-Volatilities_Resets!$Y29)/50)*((Calculator!BN40-Calculator!BP$11)*10000)+Volatilities_Resets!$Y29)),IF(BN40&gt;=BP$10,IF(BN40&lt;BQ$10,(((Volatilities_Resets!$Y29-Volatilities_Resets!$W29)/50)*((Calculator!BN40-Calculator!BP$10)*10000)+Volatilities_Resets!$W29)),IF(BN40&gt;=BP$9,IF(BN40&lt;BQ$9,(((Volatilities_Resets!$W29-Volatilities_Resets!$U29)/50)*((Calculator!BN40-Calculator!BP$9)*10000)+Volatilities_Resets!$U29)),IF(BN40&gt;=BP$8,IF(BN40&lt;BQ$8,(((Volatilities_Resets!$U29-Volatilities_Resets!$S29)/50)*((Calculator!BN40-Calculator!BP$8)*10000)+Volatilities_Resets!$S29)),IF(BN40&gt;=BP$7,IF(BN40&lt;BQ$7,(((Volatilities_Resets!$S29-Volatilities_Resets!$Q29)/50)*((Calculator!BN40-Calculator!BP$7)*10000)+Volatilities_Resets!$Q29)),IF(BN40&gt;=BP$6,IF(BN40&lt;BQ$6,(((Volatilities_Resets!$Q29-Volatilities_Resets!$O29)/50)*((Calculator!BN40-Calculator!BP$6)*10000)+Volatilities_Resets!$O29)),IF(BN40&gt;=BP$5,IF(BN40&lt;BQ$5,(((Volatilities_Resets!$O29-Volatilities_Resets!$M29)/50)*((Calculator!BN40-Calculator!BP$5)*10000)+Volatilities_Resets!$M29)),IF(BN40&gt;=BP$4,IF(BN40&lt;BQ$4,(((Volatilities_Resets!$M29-Volatilities_Resets!$K29)/50)*((Calculator!BN40-Calculator!BP$4)*10000)+Volatilities_Resets!$K29)),IF(BN40&gt;=BP$3,IF(BN40&lt;BQ$3,(((Volatilities_Resets!$K29-Volatilities_Resets!$I29)/50)*((Calculator!BN40-Calculator!BP$3)*10000)+Volatilities_Resets!$I29)),IF(BN40&gt;=BP$2,IF(BN40&lt;BQ$2,(((Volatilities_Resets!$I29-Volatilities_Resets!$G29)/50)*((Calculator!BN40-Calculator!BP$2)*10000)+Volatilities_Resets!$G29)),"Well, something broke...")))))))))))/10000</f>
        <v>1.8828999999999999E-2</v>
      </c>
      <c r="BQ40" s="63">
        <f t="shared" ca="1" si="35"/>
        <v>6837.6189769555822</v>
      </c>
      <c r="BR40" s="63">
        <f t="shared" ca="1" si="36"/>
        <v>2.7689614095671559E-4</v>
      </c>
      <c r="BS40" s="63">
        <f t="shared" ca="1" si="47"/>
        <v>186419.37306040336</v>
      </c>
      <c r="BV40" s="63">
        <f t="shared" ca="1" si="37"/>
        <v>78.05021439862297</v>
      </c>
      <c r="BW40" s="63">
        <f ca="1">SUM($BV$15:BV40)</f>
        <v>1649.2079751704161</v>
      </c>
      <c r="BY40" s="52">
        <f ca="1">EXP(-AVERAGE(BO$15:BO40)*BL40)</f>
        <v>0.92057122665668489</v>
      </c>
      <c r="CA40" s="52">
        <f t="shared" ca="1" si="38"/>
        <v>26</v>
      </c>
      <c r="CB40" s="71">
        <f t="shared" ca="1" si="39"/>
        <v>45770</v>
      </c>
      <c r="CC40" s="71">
        <f t="shared" ca="1" si="12"/>
        <v>45800</v>
      </c>
      <c r="CD40" s="72">
        <f t="shared" ca="1" si="13"/>
        <v>30</v>
      </c>
      <c r="CE40" s="73">
        <f ca="1">SUM(CD$15:CD40)/360</f>
        <v>2.2000000000000002</v>
      </c>
      <c r="CF40" s="74">
        <f t="shared" si="14"/>
        <v>25000000</v>
      </c>
      <c r="CG40" s="59">
        <f t="shared" si="40"/>
        <v>0.06</v>
      </c>
      <c r="CH40" s="57">
        <f>Volatilities_Resets!$E29*0.01</f>
        <v>2.8617200000000002E-2</v>
      </c>
      <c r="CI40" s="61">
        <f>IF(CG40=CJ$11,Volatilities_Resets!$AA29,IF(CG40&gt;=CI$11,IF(CG40&lt;CJ$11,(((Volatilities_Resets!$AA29-Volatilities_Resets!$Y29)/50)*((Calculator!CG40-Calculator!CI$11)*10000)+Volatilities_Resets!$Y29)),IF(CG40&gt;=CI$10,IF(CG40&lt;CJ$10,(((Volatilities_Resets!$Y29-Volatilities_Resets!$W29)/50)*((Calculator!CG40-Calculator!CI$10)*10000)+Volatilities_Resets!$W29)),IF(CG40&gt;=CI$9,IF(CG40&lt;CJ$9,(((Volatilities_Resets!$W29-Volatilities_Resets!$U29)/50)*((Calculator!CG40-Calculator!CI$9)*10000)+Volatilities_Resets!$U29)),IF(CG40&gt;=CI$8,IF(CG40&lt;CJ$8,(((Volatilities_Resets!$U29-Volatilities_Resets!$S29)/50)*((Calculator!CG40-Calculator!CI$8)*10000)+Volatilities_Resets!$S29)),IF(CG40&gt;=CI$7,IF(CG40&lt;CJ$7,(((Volatilities_Resets!$S29-Volatilities_Resets!$Q29)/50)*((Calculator!CG40-Calculator!CI$7)*10000)+Volatilities_Resets!$Q29)),IF(CG40&gt;=CI$6,IF(CG40&lt;CJ$6,(((Volatilities_Resets!$Q29-Volatilities_Resets!$O29)/50)*((Calculator!CG40-Calculator!CI$6)*10000)+Volatilities_Resets!$O29)),IF(CG40&gt;=CI$5,IF(CG40&lt;CJ$5,(((Volatilities_Resets!$O29-Volatilities_Resets!$M29)/50)*((Calculator!CG40-Calculator!CI$5)*10000)+Volatilities_Resets!$M29)),IF(CG40&gt;=CI$4,IF(CG40&lt;CJ$4,(((Volatilities_Resets!$M29-Volatilities_Resets!$K29)/50)*((Calculator!CG40-Calculator!CI$4)*10000)+Volatilities_Resets!$K29)),IF(CG40&gt;=CI$3,IF(CG40&lt;CJ$3,(((Volatilities_Resets!$K29-Volatilities_Resets!$I29)/50)*((Calculator!CG40-Calculator!CI$3)*10000)+Volatilities_Resets!$I29)),IF(CG40&gt;=CI$2,IF(CG40&lt;CJ$2,(((Volatilities_Resets!$I29-Volatilities_Resets!$G29)/50)*((Calculator!CG40-Calculator!CI$2)*10000)+Volatilities_Resets!$G29)),"Well, something broke...")))))))))))/10000</f>
        <v>1.9671999999999999E-2</v>
      </c>
      <c r="CJ40" s="63">
        <f t="shared" ca="1" si="41"/>
        <v>4029.2059813690112</v>
      </c>
      <c r="CK40" s="63">
        <f t="shared" ca="1" si="42"/>
        <v>1.637213497332084E-4</v>
      </c>
      <c r="CL40" s="63">
        <f t="shared" ca="1" si="48"/>
        <v>76496.994049025307</v>
      </c>
      <c r="CO40" s="63">
        <f t="shared" ca="1" si="43"/>
        <v>58.758001123371649</v>
      </c>
      <c r="CP40" s="63">
        <f ca="1">SUM($CO$15:CO40)</f>
        <v>1106.9627631577512</v>
      </c>
      <c r="CR40" s="52">
        <f ca="1">EXP(-AVERAGE(CH$15:CH40)*CE40)</f>
        <v>0.92057122665668489</v>
      </c>
      <c r="CT40"/>
      <c r="CU40"/>
      <c r="CV40"/>
      <c r="CW40"/>
      <c r="CX40"/>
      <c r="CY40"/>
      <c r="CZ40"/>
      <c r="DA40"/>
      <c r="DB40"/>
      <c r="DC40"/>
      <c r="DD40"/>
      <c r="DE40"/>
      <c r="DF40"/>
      <c r="DG40"/>
      <c r="DH40"/>
      <c r="DI40"/>
      <c r="DJ40"/>
      <c r="DK40"/>
      <c r="DL40"/>
    </row>
    <row r="41" spans="2:116" ht="15.75" customHeight="1">
      <c r="B41" s="52">
        <v>3</v>
      </c>
      <c r="C41" s="52">
        <f t="shared" ca="1" si="15"/>
        <v>27</v>
      </c>
      <c r="D41" s="71">
        <f t="shared" ca="1" si="16"/>
        <v>45800</v>
      </c>
      <c r="E41" s="71">
        <f t="shared" ca="1" si="0"/>
        <v>45831</v>
      </c>
      <c r="F41" s="72">
        <f t="shared" ca="1" si="1"/>
        <v>31</v>
      </c>
      <c r="G41" s="73">
        <f ca="1">SUM($F$15:F41)/360</f>
        <v>2.286111111111111</v>
      </c>
      <c r="H41" s="74">
        <f t="shared" si="2"/>
        <v>25000000</v>
      </c>
      <c r="I41" s="59">
        <f>IF('Cap Pricer'!$E$22=DataValidation!$C$2,'Cap Pricer'!$E$23,IF('Cap Pricer'!$E$22=DataValidation!$C$3,VLOOKUP($B41,'Cap Pricer'!$C$25:$E$31,3),""))</f>
        <v>0.02</v>
      </c>
      <c r="J41" s="57">
        <f>Volatilities_Resets!$E30*0.01</f>
        <v>2.8618299999999999E-2</v>
      </c>
      <c r="K41" s="61">
        <f>IF(I41=L$11,Volatilities_Resets!$AA30,IF(I41&gt;=K$11,IF(I41&lt;L$11,(((Volatilities_Resets!$AA30-Volatilities_Resets!$Y30)/50)*((Calculator!I41-Calculator!K$11)*10000)+Volatilities_Resets!$Y30)),IF(I41&gt;=K$10,IF(I41&lt;L$10,(((Volatilities_Resets!$Y30-Volatilities_Resets!$W30)/50)*((Calculator!I41-Calculator!K$10)*10000)+Volatilities_Resets!$W30)),IF(I41&gt;=K$9,IF(I41&lt;L$9,(((Volatilities_Resets!$W30-Volatilities_Resets!$U30)/50)*((Calculator!I41-Calculator!K$9)*10000)+Volatilities_Resets!$U30)),IF(I41&gt;=K$8,IF(I41&lt;L$8,(((Volatilities_Resets!$U30-Volatilities_Resets!$S30)/50)*((Calculator!I41-Calculator!K$8)*10000)+Volatilities_Resets!$S30)),IF(I41&gt;=K$7,IF(I41&lt;L$7,(((Volatilities_Resets!$S30-Volatilities_Resets!$Q30)/50)*((Calculator!I41-Calculator!K$7)*10000)+Volatilities_Resets!$Q30)),IF(I41&gt;=K$6,IF(I41&lt;L$6,(((Volatilities_Resets!$Q30-Volatilities_Resets!$O30)/50)*((Calculator!I41-Calculator!K$6)*10000)+Volatilities_Resets!$O30)),IF(I41&gt;=K$5,IF(I41&lt;L$5,(((Volatilities_Resets!$O30-Volatilities_Resets!$M30)/50)*((Calculator!I41-Calculator!K$5)*10000)+Volatilities_Resets!$M30)),IF(I41&gt;=K$4,IF(I41&lt;L$4,(((Volatilities_Resets!$M30-Volatilities_Resets!$K30)/50)*((Calculator!I41-Calculator!K$4)*10000)+Volatilities_Resets!$K30)),IF(I41&gt;=K$3,IF(I41&lt;L$3,(((Volatilities_Resets!$K30-Volatilities_Resets!$I30)/50)*((Calculator!I41-Calculator!K$3)*10000)+Volatilities_Resets!$I30)),IF(I41&gt;=K$2,IF(I41&lt;L$2,(((Volatilities_Resets!$I30-Volatilities_Resets!$G30)/50)*((Calculator!I41-Calculator!K$2)*10000)+Volatilities_Resets!$G30)),"Well, something broke...")))))))))))/10000</f>
        <v>1.7156000000000001E-2</v>
      </c>
      <c r="L41" s="47">
        <f t="shared" ca="1" si="17"/>
        <v>30095.163007902211</v>
      </c>
      <c r="M41" s="63">
        <f t="shared" ca="1" si="18"/>
        <v>1.208321630450441E-3</v>
      </c>
      <c r="N41" s="63">
        <f t="shared" ca="1" si="44"/>
        <v>1155769.3084622954</v>
      </c>
      <c r="Q41" s="63">
        <f t="shared" ca="1" si="19"/>
        <v>103.65490747480796</v>
      </c>
      <c r="R41" s="63">
        <f ca="1">SUM($Q$15:Q41)</f>
        <v>1642.2514086149597</v>
      </c>
      <c r="T41" s="52">
        <f ca="1">EXP(-AVERAGE(J$15:J41)*G41)</f>
        <v>0.91829350239908603</v>
      </c>
      <c r="U41" s="57"/>
      <c r="V41" s="52">
        <f t="shared" ca="1" si="20"/>
        <v>27</v>
      </c>
      <c r="W41" s="71">
        <f t="shared" ca="1" si="21"/>
        <v>45800</v>
      </c>
      <c r="X41" s="71">
        <f t="shared" ca="1" si="3"/>
        <v>45831</v>
      </c>
      <c r="Y41" s="72">
        <f t="shared" ca="1" si="4"/>
        <v>31</v>
      </c>
      <c r="Z41" s="73">
        <f ca="1">SUM(Y$15:Y41)/360</f>
        <v>2.286111111111111</v>
      </c>
      <c r="AA41" s="74">
        <f t="shared" si="22"/>
        <v>25000000</v>
      </c>
      <c r="AB41" s="59">
        <f t="shared" si="23"/>
        <v>0.03</v>
      </c>
      <c r="AC41" s="57">
        <f>Volatilities_Resets!$E30*0.01</f>
        <v>2.8618299999999999E-2</v>
      </c>
      <c r="AD41" s="61">
        <f>IF(AB41=AE$11,Volatilities_Resets!$AA30,IF(AB41&gt;=AD$11,IF(AB41&lt;AE$11,(((Volatilities_Resets!$AA30-Volatilities_Resets!$Y30)/50)*((Calculator!AB41-Calculator!AD$11)*10000)+Volatilities_Resets!$Y30)),IF(AB41&gt;=AD$10,IF(AB41&lt;AE$10,(((Volatilities_Resets!$Y30-Volatilities_Resets!$W30)/50)*((Calculator!AB41-Calculator!AD$10)*10000)+Volatilities_Resets!$W30)),IF(AB41&gt;=AD$9,IF(AB41&lt;AE$9,(((Volatilities_Resets!$W30-Volatilities_Resets!$U30)/50)*((Calculator!AB41-Calculator!AD$9)*10000)+Volatilities_Resets!$U30)),IF(AB41&gt;=AD$8,IF(AB41&lt;AE$8,(((Volatilities_Resets!$U30-Volatilities_Resets!$S30)/50)*((Calculator!AB41-Calculator!AD$8)*10000)+Volatilities_Resets!$S30)),IF(AB41&gt;=AD$7,IF(AB41&lt;AE$7,(((Volatilities_Resets!$S30-Volatilities_Resets!$Q30)/50)*((Calculator!AB41-Calculator!AD$7)*10000)+Volatilities_Resets!$Q30)),IF(AB41&gt;=AD$6,IF(AB41&lt;AE$6,(((Volatilities_Resets!$Q30-Volatilities_Resets!$O30)/50)*((Calculator!AB41-Calculator!AD$6)*10000)+Volatilities_Resets!$O30)),IF(AB41&gt;=AD$5,IF(AB41&lt;AE$5,(((Volatilities_Resets!$O30-Volatilities_Resets!$M30)/50)*((Calculator!AB41-Calculator!AD$5)*10000)+Volatilities_Resets!$M30)),IF(AB41&gt;=AD$4,IF(AB41&lt;AE$4,(((Volatilities_Resets!$M30-Volatilities_Resets!$K30)/50)*((Calculator!AB41-Calculator!AD$4)*10000)+Volatilities_Resets!$K30)),IF(AB41&gt;=AD$3,IF(AB41&lt;AE$3,(((Volatilities_Resets!$K30-Volatilities_Resets!$I30)/50)*((Calculator!AB41-Calculator!AD$3)*10000)+Volatilities_Resets!$I30)),IF(AB41&gt;=AD$2,IF(AB41&lt;AE$2,(((Volatilities_Resets!$I30-Volatilities_Resets!$G30)/50)*((Calculator!AB41-Calculator!AD$2)*10000)+Volatilities_Resets!$G30)),"Well, something broke...")))))))))))/10000</f>
        <v>1.7624999999999998E-2</v>
      </c>
      <c r="AE41" s="63">
        <f t="shared" ca="1" si="24"/>
        <v>19679.410171123534</v>
      </c>
      <c r="AF41" s="63">
        <f t="shared" ca="1" si="25"/>
        <v>7.9193982800690248E-4</v>
      </c>
      <c r="AG41" s="63">
        <f t="shared" ca="1" si="45"/>
        <v>764236.0957303982</v>
      </c>
      <c r="AJ41" s="63">
        <f t="shared" ca="1" si="26"/>
        <v>109.35546755547884</v>
      </c>
      <c r="AK41" s="63">
        <f ca="1">SUM($AJ$15:AJ41)</f>
        <v>1913.1983753778957</v>
      </c>
      <c r="AM41" s="52">
        <f ca="1">EXP(-AVERAGE(AC$15:AC41)*Z41)</f>
        <v>0.91829350239908603</v>
      </c>
      <c r="AO41" s="52">
        <f t="shared" ca="1" si="27"/>
        <v>27</v>
      </c>
      <c r="AP41" s="71">
        <f t="shared" ca="1" si="28"/>
        <v>45800</v>
      </c>
      <c r="AQ41" s="71">
        <f t="shared" ca="1" si="5"/>
        <v>45831</v>
      </c>
      <c r="AR41" s="72">
        <f t="shared" ca="1" si="6"/>
        <v>31</v>
      </c>
      <c r="AS41" s="73">
        <f ca="1">SUM(AR$15:AR41)/360</f>
        <v>2.286111111111111</v>
      </c>
      <c r="AT41" s="74">
        <f t="shared" si="7"/>
        <v>25000000</v>
      </c>
      <c r="AU41" s="59">
        <f t="shared" si="29"/>
        <v>0.04</v>
      </c>
      <c r="AV41" s="57">
        <f>Volatilities_Resets!$E30*0.01</f>
        <v>2.8618299999999999E-2</v>
      </c>
      <c r="AW41" s="61">
        <f>IF(AU41=AX$11,Volatilities_Resets!$AA30,IF(AU41&gt;=AW$11,IF(AU41&lt;AX$11,(((Volatilities_Resets!$AA30-Volatilities_Resets!$Y30)/50)*((Calculator!AU41-Calculator!AW$11)*10000)+Volatilities_Resets!$Y30)),IF(AU41&gt;=AW$10,IF(AU41&lt;AX$10,(((Volatilities_Resets!$Y30-Volatilities_Resets!$W30)/50)*((Calculator!AU41-Calculator!AW$10)*10000)+Volatilities_Resets!$W30)),IF(AU41&gt;=AW$9,IF(AU41&lt;AX$9,(((Volatilities_Resets!$W30-Volatilities_Resets!$U30)/50)*((Calculator!AU41-Calculator!AW$9)*10000)+Volatilities_Resets!$U30)),IF(AU41&gt;=AW$8,IF(AU41&lt;AX$8,(((Volatilities_Resets!$U30-Volatilities_Resets!$S30)/50)*((Calculator!AU41-Calculator!AW$8)*10000)+Volatilities_Resets!$S30)),IF(AU41&gt;=AW$7,IF(AU41&lt;AX$7,(((Volatilities_Resets!$S30-Volatilities_Resets!$Q30)/50)*((Calculator!AU41-Calculator!AW$7)*10000)+Volatilities_Resets!$Q30)),IF(AU41&gt;=AW$6,IF(AU41&lt;AX$6,(((Volatilities_Resets!$Q30-Volatilities_Resets!$O30)/50)*((Calculator!AU41-Calculator!AW$6)*10000)+Volatilities_Resets!$O30)),IF(AU41&gt;=AW$5,IF(AU41&lt;AX$5,(((Volatilities_Resets!$O30-Volatilities_Resets!$M30)/50)*((Calculator!AU41-Calculator!AW$5)*10000)+Volatilities_Resets!$M30)),IF(AU41&gt;=AW$4,IF(AU41&lt;AX$4,(((Volatilities_Resets!$M30-Volatilities_Resets!$K30)/50)*((Calculator!AU41-Calculator!AW$4)*10000)+Volatilities_Resets!$K30)),IF(AU41&gt;=AW$3,IF(AU41&lt;AX$3,(((Volatilities_Resets!$K30-Volatilities_Resets!$I30)/50)*((Calculator!AU41-Calculator!AW$3)*10000)+Volatilities_Resets!$I30)),IF(AU41&gt;=AW$2,IF(AU41&lt;AX$2,(((Volatilities_Resets!$I30-Volatilities_Resets!$G30)/50)*((Calculator!AU41-Calculator!AW$2)*10000)+Volatilities_Resets!$G30)),"Well, something broke...")))))))))))/10000</f>
        <v>1.8565000000000002E-2</v>
      </c>
      <c r="AX41" s="63">
        <f t="shared" ca="1" si="30"/>
        <v>12682.962288557386</v>
      </c>
      <c r="AY41" s="63">
        <f t="shared" ca="1" si="31"/>
        <v>5.1171380289955881E-4</v>
      </c>
      <c r="AZ41" s="63">
        <f t="shared" ca="1" si="46"/>
        <v>433710.8402759718</v>
      </c>
      <c r="BC41" s="63">
        <f t="shared" ca="1" si="8"/>
        <v>100.90464650989608</v>
      </c>
      <c r="BD41" s="63">
        <f ca="1">SUM($BC$15:BC41)</f>
        <v>1976.2819259078788</v>
      </c>
      <c r="BF41" s="52">
        <f ca="1">EXP(-AVERAGE(AV$15:AV41)*AS41)</f>
        <v>0.91829350239908603</v>
      </c>
      <c r="BH41" s="52">
        <f t="shared" ca="1" si="32"/>
        <v>27</v>
      </c>
      <c r="BI41" s="71">
        <f t="shared" ca="1" si="33"/>
        <v>45800</v>
      </c>
      <c r="BJ41" s="71">
        <f t="shared" ca="1" si="9"/>
        <v>45831</v>
      </c>
      <c r="BK41" s="72">
        <f t="shared" ca="1" si="10"/>
        <v>31</v>
      </c>
      <c r="BL41" s="73">
        <f ca="1">SUM(BK$15:BK41)/360</f>
        <v>2.286111111111111</v>
      </c>
      <c r="BM41" s="74">
        <f t="shared" si="11"/>
        <v>25000000</v>
      </c>
      <c r="BN41" s="59">
        <f t="shared" si="34"/>
        <v>0.05</v>
      </c>
      <c r="BO41" s="57">
        <f>Volatilities_Resets!$E30*0.01</f>
        <v>2.8618299999999999E-2</v>
      </c>
      <c r="BP41" s="61">
        <f>IF(BN41=BQ$11,Volatilities_Resets!$AA30,IF(BN41&gt;=BP$11,IF(BN41&lt;BQ$11,(((Volatilities_Resets!$AA30-Volatilities_Resets!$Y30)/50)*((Calculator!BN41-Calculator!BP$11)*10000)+Volatilities_Resets!$Y30)),IF(BN41&gt;=BP$10,IF(BN41&lt;BQ$10,(((Volatilities_Resets!$Y30-Volatilities_Resets!$W30)/50)*((Calculator!BN41-Calculator!BP$10)*10000)+Volatilities_Resets!$W30)),IF(BN41&gt;=BP$9,IF(BN41&lt;BQ$9,(((Volatilities_Resets!$W30-Volatilities_Resets!$U30)/50)*((Calculator!BN41-Calculator!BP$9)*10000)+Volatilities_Resets!$U30)),IF(BN41&gt;=BP$8,IF(BN41&lt;BQ$8,(((Volatilities_Resets!$U30-Volatilities_Resets!$S30)/50)*((Calculator!BN41-Calculator!BP$8)*10000)+Volatilities_Resets!$S30)),IF(BN41&gt;=BP$7,IF(BN41&lt;BQ$7,(((Volatilities_Resets!$S30-Volatilities_Resets!$Q30)/50)*((Calculator!BN41-Calculator!BP$7)*10000)+Volatilities_Resets!$Q30)),IF(BN41&gt;=BP$6,IF(BN41&lt;BQ$6,(((Volatilities_Resets!$Q30-Volatilities_Resets!$O30)/50)*((Calculator!BN41-Calculator!BP$6)*10000)+Volatilities_Resets!$O30)),IF(BN41&gt;=BP$5,IF(BN41&lt;BQ$5,(((Volatilities_Resets!$O30-Volatilities_Resets!$M30)/50)*((Calculator!BN41-Calculator!BP$5)*10000)+Volatilities_Resets!$M30)),IF(BN41&gt;=BP$4,IF(BN41&lt;BQ$4,(((Volatilities_Resets!$M30-Volatilities_Resets!$K30)/50)*((Calculator!BN41-Calculator!BP$4)*10000)+Volatilities_Resets!$K30)),IF(BN41&gt;=BP$3,IF(BN41&lt;BQ$3,(((Volatilities_Resets!$K30-Volatilities_Resets!$I30)/50)*((Calculator!BN41-Calculator!BP$3)*10000)+Volatilities_Resets!$I30)),IF(BN41&gt;=BP$2,IF(BN41&lt;BQ$2,(((Volatilities_Resets!$I30-Volatilities_Resets!$G30)/50)*((Calculator!BN41-Calculator!BP$2)*10000)+Volatilities_Resets!$G30)),"Well, something broke...")))))))))))/10000</f>
        <v>1.8828000000000001E-2</v>
      </c>
      <c r="BQ41" s="63">
        <f t="shared" ca="1" si="35"/>
        <v>7367.8909656721034</v>
      </c>
      <c r="BR41" s="63">
        <f t="shared" ca="1" si="36"/>
        <v>2.9831850068696628E-4</v>
      </c>
      <c r="BS41" s="63">
        <f t="shared" ca="1" si="47"/>
        <v>193787.26402607546</v>
      </c>
      <c r="BV41" s="63">
        <f t="shared" ca="1" si="37"/>
        <v>82.712120495340116</v>
      </c>
      <c r="BW41" s="63">
        <f ca="1">SUM($BV$15:BV41)</f>
        <v>1731.9200956657562</v>
      </c>
      <c r="BY41" s="52">
        <f ca="1">EXP(-AVERAGE(BO$15:BO41)*BL41)</f>
        <v>0.91829350239908603</v>
      </c>
      <c r="CA41" s="52">
        <f t="shared" ca="1" si="38"/>
        <v>27</v>
      </c>
      <c r="CB41" s="71">
        <f t="shared" ca="1" si="39"/>
        <v>45800</v>
      </c>
      <c r="CC41" s="71">
        <f t="shared" ca="1" si="12"/>
        <v>45831</v>
      </c>
      <c r="CD41" s="72">
        <f t="shared" ca="1" si="13"/>
        <v>31</v>
      </c>
      <c r="CE41" s="73">
        <f ca="1">SUM(CD$15:CD41)/360</f>
        <v>2.286111111111111</v>
      </c>
      <c r="CF41" s="74">
        <f t="shared" si="14"/>
        <v>25000000</v>
      </c>
      <c r="CG41" s="59">
        <f t="shared" si="40"/>
        <v>0.06</v>
      </c>
      <c r="CH41" s="57">
        <f>Volatilities_Resets!$E30*0.01</f>
        <v>2.8618299999999999E-2</v>
      </c>
      <c r="CI41" s="61">
        <f>IF(CG41=CJ$11,Volatilities_Resets!$AA30,IF(CG41&gt;=CI$11,IF(CG41&lt;CJ$11,(((Volatilities_Resets!$AA30-Volatilities_Resets!$Y30)/50)*((Calculator!CG41-Calculator!CI$11)*10000)+Volatilities_Resets!$Y30)),IF(CG41&gt;=CI$10,IF(CG41&lt;CJ$10,(((Volatilities_Resets!$Y30-Volatilities_Resets!$W30)/50)*((Calculator!CG41-Calculator!CI$10)*10000)+Volatilities_Resets!$W30)),IF(CG41&gt;=CI$9,IF(CG41&lt;CJ$9,(((Volatilities_Resets!$W30-Volatilities_Resets!$U30)/50)*((Calculator!CG41-Calculator!CI$9)*10000)+Volatilities_Resets!$U30)),IF(CG41&gt;=CI$8,IF(CG41&lt;CJ$8,(((Volatilities_Resets!$U30-Volatilities_Resets!$S30)/50)*((Calculator!CG41-Calculator!CI$8)*10000)+Volatilities_Resets!$S30)),IF(CG41&gt;=CI$7,IF(CG41&lt;CJ$7,(((Volatilities_Resets!$S30-Volatilities_Resets!$Q30)/50)*((Calculator!CG41-Calculator!CI$7)*10000)+Volatilities_Resets!$Q30)),IF(CG41&gt;=CI$6,IF(CG41&lt;CJ$6,(((Volatilities_Resets!$Q30-Volatilities_Resets!$O30)/50)*((Calculator!CG41-Calculator!CI$6)*10000)+Volatilities_Resets!$O30)),IF(CG41&gt;=CI$5,IF(CG41&lt;CJ$5,(((Volatilities_Resets!$O30-Volatilities_Resets!$M30)/50)*((Calculator!CG41-Calculator!CI$5)*10000)+Volatilities_Resets!$M30)),IF(CG41&gt;=CI$4,IF(CG41&lt;CJ$4,(((Volatilities_Resets!$M30-Volatilities_Resets!$K30)/50)*((Calculator!CG41-Calculator!CI$4)*10000)+Volatilities_Resets!$K30)),IF(CG41&gt;=CI$3,IF(CG41&lt;CJ$3,(((Volatilities_Resets!$K30-Volatilities_Resets!$I30)/50)*((Calculator!CG41-Calculator!CI$3)*10000)+Volatilities_Resets!$I30)),IF(CG41&gt;=CI$2,IF(CG41&lt;CJ$2,(((Volatilities_Resets!$I30-Volatilities_Resets!$G30)/50)*((Calculator!CG41-Calculator!CI$2)*10000)+Volatilities_Resets!$G30)),"Well, something broke...")))))))))))/10000</f>
        <v>1.9671999999999999E-2</v>
      </c>
      <c r="CJ41" s="63">
        <f t="shared" ca="1" si="41"/>
        <v>4406.4313377336675</v>
      </c>
      <c r="CK41" s="63">
        <f t="shared" ca="1" si="42"/>
        <v>1.789988427098594E-4</v>
      </c>
      <c r="CL41" s="63">
        <f t="shared" ca="1" si="48"/>
        <v>80903.425386758972</v>
      </c>
      <c r="CO41" s="63">
        <f t="shared" ca="1" si="43"/>
        <v>62.939588726957624</v>
      </c>
      <c r="CP41" s="63">
        <f ca="1">SUM($CO$15:CO41)</f>
        <v>1169.9023518847089</v>
      </c>
      <c r="CR41" s="52">
        <f ca="1">EXP(-AVERAGE(CH$15:CH41)*CE41)</f>
        <v>0.91829350239908603</v>
      </c>
      <c r="CT41"/>
      <c r="CU41"/>
      <c r="CV41"/>
      <c r="CW41"/>
      <c r="CX41"/>
      <c r="CY41"/>
      <c r="CZ41"/>
      <c r="DA41"/>
      <c r="DB41"/>
      <c r="DC41"/>
      <c r="DD41"/>
      <c r="DE41"/>
      <c r="DF41"/>
      <c r="DG41"/>
      <c r="DH41"/>
      <c r="DI41"/>
      <c r="DJ41"/>
      <c r="DK41"/>
      <c r="DL41"/>
    </row>
    <row r="42" spans="2:116" ht="15.75" customHeight="1">
      <c r="B42" s="52">
        <v>3</v>
      </c>
      <c r="C42" s="52">
        <f t="shared" ca="1" si="15"/>
        <v>28</v>
      </c>
      <c r="D42" s="71">
        <f t="shared" ca="1" si="16"/>
        <v>45831</v>
      </c>
      <c r="E42" s="71">
        <f t="shared" ca="1" si="0"/>
        <v>45861</v>
      </c>
      <c r="F42" s="72">
        <f t="shared" ca="1" si="1"/>
        <v>30</v>
      </c>
      <c r="G42" s="73">
        <f ca="1">SUM($F$15:F42)/360</f>
        <v>2.3694444444444445</v>
      </c>
      <c r="H42" s="74">
        <f t="shared" si="2"/>
        <v>25000000</v>
      </c>
      <c r="I42" s="59">
        <f>IF('Cap Pricer'!$E$22=DataValidation!$C$2,'Cap Pricer'!$E$23,IF('Cap Pricer'!$E$22=DataValidation!$C$3,VLOOKUP($B42,'Cap Pricer'!$C$25:$E$31,3),""))</f>
        <v>0.02</v>
      </c>
      <c r="J42" s="57">
        <f>Volatilities_Resets!$E31*0.01</f>
        <v>2.8614899999999999E-2</v>
      </c>
      <c r="K42" s="61">
        <f>IF(I42=L$11,Volatilities_Resets!$AA31,IF(I42&gt;=K$11,IF(I42&lt;L$11,(((Volatilities_Resets!$AA31-Volatilities_Resets!$Y31)/50)*((Calculator!I42-Calculator!K$11)*10000)+Volatilities_Resets!$Y31)),IF(I42&gt;=K$10,IF(I42&lt;L$10,(((Volatilities_Resets!$Y31-Volatilities_Resets!$W31)/50)*((Calculator!I42-Calculator!K$10)*10000)+Volatilities_Resets!$W31)),IF(I42&gt;=K$9,IF(I42&lt;L$9,(((Volatilities_Resets!$W31-Volatilities_Resets!$U31)/50)*((Calculator!I42-Calculator!K$9)*10000)+Volatilities_Resets!$U31)),IF(I42&gt;=K$8,IF(I42&lt;L$8,(((Volatilities_Resets!$U31-Volatilities_Resets!$S31)/50)*((Calculator!I42-Calculator!K$8)*10000)+Volatilities_Resets!$S31)),IF(I42&gt;=K$7,IF(I42&lt;L$7,(((Volatilities_Resets!$S31-Volatilities_Resets!$Q31)/50)*((Calculator!I42-Calculator!K$7)*10000)+Volatilities_Resets!$Q31)),IF(I42&gt;=K$6,IF(I42&lt;L$6,(((Volatilities_Resets!$Q31-Volatilities_Resets!$O31)/50)*((Calculator!I42-Calculator!K$6)*10000)+Volatilities_Resets!$O31)),IF(I42&gt;=K$5,IF(I42&lt;L$5,(((Volatilities_Resets!$O31-Volatilities_Resets!$M31)/50)*((Calculator!I42-Calculator!K$5)*10000)+Volatilities_Resets!$M31)),IF(I42&gt;=K$4,IF(I42&lt;L$4,(((Volatilities_Resets!$M31-Volatilities_Resets!$K31)/50)*((Calculator!I42-Calculator!K$4)*10000)+Volatilities_Resets!$K31)),IF(I42&gt;=K$3,IF(I42&lt;L$3,(((Volatilities_Resets!$K31-Volatilities_Resets!$I31)/50)*((Calculator!I42-Calculator!K$3)*10000)+Volatilities_Resets!$I31)),IF(I42&gt;=K$2,IF(I42&lt;L$2,(((Volatilities_Resets!$I31-Volatilities_Resets!$G31)/50)*((Calculator!I42-Calculator!K$2)*10000)+Volatilities_Resets!$G31)),"Well, something broke...")))))))))))/10000</f>
        <v>1.7156000000000001E-2</v>
      </c>
      <c r="L42" s="47">
        <f t="shared" ca="1" si="17"/>
        <v>29389.164921443418</v>
      </c>
      <c r="M42" s="63">
        <f t="shared" ca="1" si="18"/>
        <v>1.1800131965418984E-3</v>
      </c>
      <c r="N42" s="63">
        <f t="shared" ca="1" si="44"/>
        <v>1185158.4733837389</v>
      </c>
      <c r="Q42" s="63">
        <f t="shared" ca="1" si="19"/>
        <v>101.84009631193669</v>
      </c>
      <c r="R42" s="63">
        <f ca="1">SUM($Q$15:Q42)</f>
        <v>1744.0915049268965</v>
      </c>
      <c r="T42" s="52">
        <f ca="1">EXP(-AVERAGE(J$15:J42)*G42)</f>
        <v>0.9161166153515522</v>
      </c>
      <c r="U42" s="57"/>
      <c r="V42" s="52">
        <f t="shared" ca="1" si="20"/>
        <v>28</v>
      </c>
      <c r="W42" s="71">
        <f t="shared" ca="1" si="21"/>
        <v>45831</v>
      </c>
      <c r="X42" s="71">
        <f t="shared" ca="1" si="3"/>
        <v>45861</v>
      </c>
      <c r="Y42" s="72">
        <f t="shared" ca="1" si="4"/>
        <v>30</v>
      </c>
      <c r="Z42" s="73">
        <f ca="1">SUM(Y$15:Y42)/360</f>
        <v>2.3694444444444445</v>
      </c>
      <c r="AA42" s="74">
        <f t="shared" si="22"/>
        <v>25000000</v>
      </c>
      <c r="AB42" s="59">
        <f t="shared" si="23"/>
        <v>0.03</v>
      </c>
      <c r="AC42" s="57">
        <f>Volatilities_Resets!$E31*0.01</f>
        <v>2.8614899999999999E-2</v>
      </c>
      <c r="AD42" s="61">
        <f>IF(AB42=AE$11,Volatilities_Resets!$AA31,IF(AB42&gt;=AD$11,IF(AB42&lt;AE$11,(((Volatilities_Resets!$AA31-Volatilities_Resets!$Y31)/50)*((Calculator!AB42-Calculator!AD$11)*10000)+Volatilities_Resets!$Y31)),IF(AB42&gt;=AD$10,IF(AB42&lt;AE$10,(((Volatilities_Resets!$Y31-Volatilities_Resets!$W31)/50)*((Calculator!AB42-Calculator!AD$10)*10000)+Volatilities_Resets!$W31)),IF(AB42&gt;=AD$9,IF(AB42&lt;AE$9,(((Volatilities_Resets!$W31-Volatilities_Resets!$U31)/50)*((Calculator!AB42-Calculator!AD$9)*10000)+Volatilities_Resets!$U31)),IF(AB42&gt;=AD$8,IF(AB42&lt;AE$8,(((Volatilities_Resets!$U31-Volatilities_Resets!$S31)/50)*((Calculator!AB42-Calculator!AD$8)*10000)+Volatilities_Resets!$S31)),IF(AB42&gt;=AD$7,IF(AB42&lt;AE$7,(((Volatilities_Resets!$S31-Volatilities_Resets!$Q31)/50)*((Calculator!AB42-Calculator!AD$7)*10000)+Volatilities_Resets!$Q31)),IF(AB42&gt;=AD$6,IF(AB42&lt;AE$6,(((Volatilities_Resets!$Q31-Volatilities_Resets!$O31)/50)*((Calculator!AB42-Calculator!AD$6)*10000)+Volatilities_Resets!$O31)),IF(AB42&gt;=AD$5,IF(AB42&lt;AE$5,(((Volatilities_Resets!$O31-Volatilities_Resets!$M31)/50)*((Calculator!AB42-Calculator!AD$5)*10000)+Volatilities_Resets!$M31)),IF(AB42&gt;=AD$4,IF(AB42&lt;AE$4,(((Volatilities_Resets!$M31-Volatilities_Resets!$K31)/50)*((Calculator!AB42-Calculator!AD$4)*10000)+Volatilities_Resets!$K31)),IF(AB42&gt;=AD$3,IF(AB42&lt;AE$3,(((Volatilities_Resets!$K31-Volatilities_Resets!$I31)/50)*((Calculator!AB42-Calculator!AD$3)*10000)+Volatilities_Resets!$I31)),IF(AB42&gt;=AD$2,IF(AB42&lt;AE$2,(((Volatilities_Resets!$I31-Volatilities_Resets!$G31)/50)*((Calculator!AB42-Calculator!AD$2)*10000)+Volatilities_Resets!$G31)),"Well, something broke...")))))))))))/10000</f>
        <v>1.7625999999999999E-2</v>
      </c>
      <c r="AE42" s="63">
        <f t="shared" ca="1" si="24"/>
        <v>19363.526643752011</v>
      </c>
      <c r="AF42" s="63">
        <f t="shared" ca="1" si="25"/>
        <v>7.7922315952618166E-4</v>
      </c>
      <c r="AG42" s="63">
        <f t="shared" ca="1" si="45"/>
        <v>783599.6223741502</v>
      </c>
      <c r="AJ42" s="63">
        <f t="shared" ca="1" si="26"/>
        <v>107.233597573011</v>
      </c>
      <c r="AK42" s="63">
        <f ca="1">SUM($AJ$15:AJ42)</f>
        <v>2020.4319729509066</v>
      </c>
      <c r="AM42" s="52">
        <f ca="1">EXP(-AVERAGE(AC$15:AC42)*Z42)</f>
        <v>0.9161166153515522</v>
      </c>
      <c r="AO42" s="52">
        <f t="shared" ca="1" si="27"/>
        <v>28</v>
      </c>
      <c r="AP42" s="71">
        <f t="shared" ca="1" si="28"/>
        <v>45831</v>
      </c>
      <c r="AQ42" s="71">
        <f t="shared" ca="1" si="5"/>
        <v>45861</v>
      </c>
      <c r="AR42" s="72">
        <f t="shared" ca="1" si="6"/>
        <v>30</v>
      </c>
      <c r="AS42" s="73">
        <f ca="1">SUM(AR$15:AR42)/360</f>
        <v>2.3694444444444445</v>
      </c>
      <c r="AT42" s="74">
        <f t="shared" si="7"/>
        <v>25000000</v>
      </c>
      <c r="AU42" s="59">
        <f t="shared" si="29"/>
        <v>0.04</v>
      </c>
      <c r="AV42" s="57">
        <f>Volatilities_Resets!$E31*0.01</f>
        <v>2.8614899999999999E-2</v>
      </c>
      <c r="AW42" s="61">
        <f>IF(AU42=AX$11,Volatilities_Resets!$AA31,IF(AU42&gt;=AW$11,IF(AU42&lt;AX$11,(((Volatilities_Resets!$AA31-Volatilities_Resets!$Y31)/50)*((Calculator!AU42-Calculator!AW$11)*10000)+Volatilities_Resets!$Y31)),IF(AU42&gt;=AW$10,IF(AU42&lt;AX$10,(((Volatilities_Resets!$Y31-Volatilities_Resets!$W31)/50)*((Calculator!AU42-Calculator!AW$10)*10000)+Volatilities_Resets!$W31)),IF(AU42&gt;=AW$9,IF(AU42&lt;AX$9,(((Volatilities_Resets!$W31-Volatilities_Resets!$U31)/50)*((Calculator!AU42-Calculator!AW$9)*10000)+Volatilities_Resets!$U31)),IF(AU42&gt;=AW$8,IF(AU42&lt;AX$8,(((Volatilities_Resets!$U31-Volatilities_Resets!$S31)/50)*((Calculator!AU42-Calculator!AW$8)*10000)+Volatilities_Resets!$S31)),IF(AU42&gt;=AW$7,IF(AU42&lt;AX$7,(((Volatilities_Resets!$S31-Volatilities_Resets!$Q31)/50)*((Calculator!AU42-Calculator!AW$7)*10000)+Volatilities_Resets!$Q31)),IF(AU42&gt;=AW$6,IF(AU42&lt;AX$6,(((Volatilities_Resets!$Q31-Volatilities_Resets!$O31)/50)*((Calculator!AU42-Calculator!AW$6)*10000)+Volatilities_Resets!$O31)),IF(AU42&gt;=AW$5,IF(AU42&lt;AX$5,(((Volatilities_Resets!$O31-Volatilities_Resets!$M31)/50)*((Calculator!AU42-Calculator!AW$5)*10000)+Volatilities_Resets!$M31)),IF(AU42&gt;=AW$4,IF(AU42&lt;AX$4,(((Volatilities_Resets!$M31-Volatilities_Resets!$K31)/50)*((Calculator!AU42-Calculator!AW$4)*10000)+Volatilities_Resets!$K31)),IF(AU42&gt;=AW$3,IF(AU42&lt;AX$3,(((Volatilities_Resets!$K31-Volatilities_Resets!$I31)/50)*((Calculator!AU42-Calculator!AW$3)*10000)+Volatilities_Resets!$I31)),IF(AU42&gt;=AW$2,IF(AU42&lt;AX$2,(((Volatilities_Resets!$I31-Volatilities_Resets!$G31)/50)*((Calculator!AU42-Calculator!AW$2)*10000)+Volatilities_Resets!$G31)),"Well, something broke...")))))))))))/10000</f>
        <v>1.8565000000000002E-2</v>
      </c>
      <c r="AX42" s="63">
        <f t="shared" ca="1" si="30"/>
        <v>12598.606965045419</v>
      </c>
      <c r="AY42" s="63">
        <f t="shared" ca="1" si="31"/>
        <v>5.0827660789194685E-4</v>
      </c>
      <c r="AZ42" s="63">
        <f t="shared" ca="1" si="46"/>
        <v>446309.44724101725</v>
      </c>
      <c r="BC42" s="63">
        <f t="shared" ca="1" si="8"/>
        <v>99.222971146559843</v>
      </c>
      <c r="BD42" s="63">
        <f ca="1">SUM($BC$15:BC42)</f>
        <v>2075.5048970544385</v>
      </c>
      <c r="BF42" s="52">
        <f ca="1">EXP(-AVERAGE(AV$15:AV42)*AS42)</f>
        <v>0.9161166153515522</v>
      </c>
      <c r="BH42" s="52">
        <f t="shared" ca="1" si="32"/>
        <v>28</v>
      </c>
      <c r="BI42" s="71">
        <f t="shared" ca="1" si="33"/>
        <v>45831</v>
      </c>
      <c r="BJ42" s="71">
        <f t="shared" ca="1" si="9"/>
        <v>45861</v>
      </c>
      <c r="BK42" s="72">
        <f t="shared" ca="1" si="10"/>
        <v>30</v>
      </c>
      <c r="BL42" s="73">
        <f ca="1">SUM(BK$15:BK42)/360</f>
        <v>2.3694444444444445</v>
      </c>
      <c r="BM42" s="74">
        <f t="shared" si="11"/>
        <v>25000000</v>
      </c>
      <c r="BN42" s="59">
        <f t="shared" si="34"/>
        <v>0.05</v>
      </c>
      <c r="BO42" s="57">
        <f>Volatilities_Resets!$E31*0.01</f>
        <v>2.8614899999999999E-2</v>
      </c>
      <c r="BP42" s="61">
        <f>IF(BN42=BQ$11,Volatilities_Resets!$AA31,IF(BN42&gt;=BP$11,IF(BN42&lt;BQ$11,(((Volatilities_Resets!$AA31-Volatilities_Resets!$Y31)/50)*((Calculator!BN42-Calculator!BP$11)*10000)+Volatilities_Resets!$Y31)),IF(BN42&gt;=BP$10,IF(BN42&lt;BQ$10,(((Volatilities_Resets!$Y31-Volatilities_Resets!$W31)/50)*((Calculator!BN42-Calculator!BP$10)*10000)+Volatilities_Resets!$W31)),IF(BN42&gt;=BP$9,IF(BN42&lt;BQ$9,(((Volatilities_Resets!$W31-Volatilities_Resets!$U31)/50)*((Calculator!BN42-Calculator!BP$9)*10000)+Volatilities_Resets!$U31)),IF(BN42&gt;=BP$8,IF(BN42&lt;BQ$8,(((Volatilities_Resets!$U31-Volatilities_Resets!$S31)/50)*((Calculator!BN42-Calculator!BP$8)*10000)+Volatilities_Resets!$S31)),IF(BN42&gt;=BP$7,IF(BN42&lt;BQ$7,(((Volatilities_Resets!$S31-Volatilities_Resets!$Q31)/50)*((Calculator!BN42-Calculator!BP$7)*10000)+Volatilities_Resets!$Q31)),IF(BN42&gt;=BP$6,IF(BN42&lt;BQ$6,(((Volatilities_Resets!$Q31-Volatilities_Resets!$O31)/50)*((Calculator!BN42-Calculator!BP$6)*10000)+Volatilities_Resets!$O31)),IF(BN42&gt;=BP$5,IF(BN42&lt;BQ$5,(((Volatilities_Resets!$O31-Volatilities_Resets!$M31)/50)*((Calculator!BN42-Calculator!BP$5)*10000)+Volatilities_Resets!$M31)),IF(BN42&gt;=BP$4,IF(BN42&lt;BQ$4,(((Volatilities_Resets!$M31-Volatilities_Resets!$K31)/50)*((Calculator!BN42-Calculator!BP$4)*10000)+Volatilities_Resets!$K31)),IF(BN42&gt;=BP$3,IF(BN42&lt;BQ$3,(((Volatilities_Resets!$K31-Volatilities_Resets!$I31)/50)*((Calculator!BN42-Calculator!BP$3)*10000)+Volatilities_Resets!$I31)),IF(BN42&gt;=BP$2,IF(BN42&lt;BQ$2,(((Volatilities_Resets!$I31-Volatilities_Resets!$G31)/50)*((Calculator!BN42-Calculator!BP$2)*10000)+Volatilities_Resets!$G31)),"Well, something broke...")))))))))))/10000</f>
        <v>1.8828000000000001E-2</v>
      </c>
      <c r="BQ42" s="63">
        <f t="shared" ca="1" si="35"/>
        <v>7408.6002005658156</v>
      </c>
      <c r="BR42" s="63">
        <f t="shared" ca="1" si="36"/>
        <v>2.9992002169808719E-4</v>
      </c>
      <c r="BS42" s="63">
        <f t="shared" ca="1" si="47"/>
        <v>201195.86422664128</v>
      </c>
      <c r="BV42" s="63">
        <f t="shared" ca="1" si="37"/>
        <v>81.901138620207746</v>
      </c>
      <c r="BW42" s="63">
        <f ca="1">SUM($BV$15:BV42)</f>
        <v>1813.821234285964</v>
      </c>
      <c r="BY42" s="52">
        <f ca="1">EXP(-AVERAGE(BO$15:BO42)*BL42)</f>
        <v>0.9161166153515522</v>
      </c>
      <c r="CA42" s="52">
        <f t="shared" ca="1" si="38"/>
        <v>28</v>
      </c>
      <c r="CB42" s="71">
        <f t="shared" ca="1" si="39"/>
        <v>45831</v>
      </c>
      <c r="CC42" s="71">
        <f t="shared" ca="1" si="12"/>
        <v>45861</v>
      </c>
      <c r="CD42" s="72">
        <f t="shared" ca="1" si="13"/>
        <v>30</v>
      </c>
      <c r="CE42" s="73">
        <f ca="1">SUM(CD$15:CD42)/360</f>
        <v>2.3694444444444445</v>
      </c>
      <c r="CF42" s="74">
        <f t="shared" si="14"/>
        <v>25000000</v>
      </c>
      <c r="CG42" s="59">
        <f t="shared" si="40"/>
        <v>0.06</v>
      </c>
      <c r="CH42" s="57">
        <f>Volatilities_Resets!$E31*0.01</f>
        <v>2.8614899999999999E-2</v>
      </c>
      <c r="CI42" s="61">
        <f>IF(CG42=CJ$11,Volatilities_Resets!$AA31,IF(CG42&gt;=CI$11,IF(CG42&lt;CJ$11,(((Volatilities_Resets!$AA31-Volatilities_Resets!$Y31)/50)*((Calculator!CG42-Calculator!CI$11)*10000)+Volatilities_Resets!$Y31)),IF(CG42&gt;=CI$10,IF(CG42&lt;CJ$10,(((Volatilities_Resets!$Y31-Volatilities_Resets!$W31)/50)*((Calculator!CG42-Calculator!CI$10)*10000)+Volatilities_Resets!$W31)),IF(CG42&gt;=CI$9,IF(CG42&lt;CJ$9,(((Volatilities_Resets!$W31-Volatilities_Resets!$U31)/50)*((Calculator!CG42-Calculator!CI$9)*10000)+Volatilities_Resets!$U31)),IF(CG42&gt;=CI$8,IF(CG42&lt;CJ$8,(((Volatilities_Resets!$U31-Volatilities_Resets!$S31)/50)*((Calculator!CG42-Calculator!CI$8)*10000)+Volatilities_Resets!$S31)),IF(CG42&gt;=CI$7,IF(CG42&lt;CJ$7,(((Volatilities_Resets!$S31-Volatilities_Resets!$Q31)/50)*((Calculator!CG42-Calculator!CI$7)*10000)+Volatilities_Resets!$Q31)),IF(CG42&gt;=CI$6,IF(CG42&lt;CJ$6,(((Volatilities_Resets!$Q31-Volatilities_Resets!$O31)/50)*((Calculator!CG42-Calculator!CI$6)*10000)+Volatilities_Resets!$O31)),IF(CG42&gt;=CI$5,IF(CG42&lt;CJ$5,(((Volatilities_Resets!$O31-Volatilities_Resets!$M31)/50)*((Calculator!CG42-Calculator!CI$5)*10000)+Volatilities_Resets!$M31)),IF(CG42&gt;=CI$4,IF(CG42&lt;CJ$4,(((Volatilities_Resets!$M31-Volatilities_Resets!$K31)/50)*((Calculator!CG42-Calculator!CI$4)*10000)+Volatilities_Resets!$K31)),IF(CG42&gt;=CI$3,IF(CG42&lt;CJ$3,(((Volatilities_Resets!$K31-Volatilities_Resets!$I31)/50)*((Calculator!CG42-Calculator!CI$3)*10000)+Volatilities_Resets!$I31)),IF(CG42&gt;=CI$2,IF(CG42&lt;CJ$2,(((Volatilities_Resets!$I31-Volatilities_Resets!$G31)/50)*((Calculator!CG42-Calculator!CI$2)*10000)+Volatilities_Resets!$G31)),"Well, something broke...")))))))))))/10000</f>
        <v>1.9671999999999999E-2</v>
      </c>
      <c r="CJ42" s="63">
        <f t="shared" ca="1" si="41"/>
        <v>4490.004645774633</v>
      </c>
      <c r="CK42" s="63">
        <f t="shared" ca="1" si="42"/>
        <v>1.8234753440704983E-4</v>
      </c>
      <c r="CL42" s="63">
        <f t="shared" ca="1" si="48"/>
        <v>85393.430032533608</v>
      </c>
      <c r="CO42" s="63">
        <f t="shared" ca="1" si="43"/>
        <v>62.922291967378285</v>
      </c>
      <c r="CP42" s="63">
        <f ca="1">SUM($CO$15:CO42)</f>
        <v>1232.8246438520871</v>
      </c>
      <c r="CR42" s="52">
        <f ca="1">EXP(-AVERAGE(CH$15:CH42)*CE42)</f>
        <v>0.9161166153515522</v>
      </c>
      <c r="CT42"/>
      <c r="CU42"/>
      <c r="CV42"/>
      <c r="CW42"/>
      <c r="CX42"/>
      <c r="CY42"/>
      <c r="CZ42"/>
      <c r="DA42"/>
      <c r="DB42"/>
      <c r="DC42"/>
      <c r="DD42"/>
      <c r="DE42"/>
      <c r="DF42"/>
      <c r="DG42"/>
      <c r="DH42"/>
      <c r="DI42"/>
      <c r="DJ42"/>
      <c r="DK42"/>
      <c r="DL42"/>
    </row>
    <row r="43" spans="2:116" ht="15.75" customHeight="1">
      <c r="B43" s="52">
        <v>3</v>
      </c>
      <c r="C43" s="52">
        <f t="shared" ca="1" si="15"/>
        <v>29</v>
      </c>
      <c r="D43" s="71">
        <f t="shared" ca="1" si="16"/>
        <v>45861</v>
      </c>
      <c r="E43" s="71">
        <f t="shared" ca="1" si="0"/>
        <v>45892</v>
      </c>
      <c r="F43" s="72">
        <f t="shared" ca="1" si="1"/>
        <v>31</v>
      </c>
      <c r="G43" s="73">
        <f ca="1">SUM($F$15:F43)/360</f>
        <v>2.4555555555555557</v>
      </c>
      <c r="H43" s="74">
        <f t="shared" si="2"/>
        <v>25000000</v>
      </c>
      <c r="I43" s="59">
        <f>IF('Cap Pricer'!$E$22=DataValidation!$C$2,'Cap Pricer'!$E$23,IF('Cap Pricer'!$E$22=DataValidation!$C$3,VLOOKUP($B43,'Cap Pricer'!$C$25:$E$31,3),""))</f>
        <v>0.02</v>
      </c>
      <c r="J43" s="57">
        <f>Volatilities_Resets!$E32*0.01</f>
        <v>2.8616000000000003E-2</v>
      </c>
      <c r="K43" s="61">
        <f>IF(I43=L$11,Volatilities_Resets!$AA32,IF(I43&gt;=K$11,IF(I43&lt;L$11,(((Volatilities_Resets!$AA32-Volatilities_Resets!$Y32)/50)*((Calculator!I43-Calculator!K$11)*10000)+Volatilities_Resets!$Y32)),IF(I43&gt;=K$10,IF(I43&lt;L$10,(((Volatilities_Resets!$Y32-Volatilities_Resets!$W32)/50)*((Calculator!I43-Calculator!K$10)*10000)+Volatilities_Resets!$W32)),IF(I43&gt;=K$9,IF(I43&lt;L$9,(((Volatilities_Resets!$W32-Volatilities_Resets!$U32)/50)*((Calculator!I43-Calculator!K$9)*10000)+Volatilities_Resets!$U32)),IF(I43&gt;=K$8,IF(I43&lt;L$8,(((Volatilities_Resets!$U32-Volatilities_Resets!$S32)/50)*((Calculator!I43-Calculator!K$8)*10000)+Volatilities_Resets!$S32)),IF(I43&gt;=K$7,IF(I43&lt;L$7,(((Volatilities_Resets!$S32-Volatilities_Resets!$Q32)/50)*((Calculator!I43-Calculator!K$7)*10000)+Volatilities_Resets!$Q32)),IF(I43&gt;=K$6,IF(I43&lt;L$6,(((Volatilities_Resets!$Q32-Volatilities_Resets!$O32)/50)*((Calculator!I43-Calculator!K$6)*10000)+Volatilities_Resets!$O32)),IF(I43&gt;=K$5,IF(I43&lt;L$5,(((Volatilities_Resets!$O32-Volatilities_Resets!$M32)/50)*((Calculator!I43-Calculator!K$5)*10000)+Volatilities_Resets!$M32)),IF(I43&gt;=K$4,IF(I43&lt;L$4,(((Volatilities_Resets!$M32-Volatilities_Resets!$K32)/50)*((Calculator!I43-Calculator!K$4)*10000)+Volatilities_Resets!$K32)),IF(I43&gt;=K$3,IF(I43&lt;L$3,(((Volatilities_Resets!$K32-Volatilities_Resets!$I32)/50)*((Calculator!I43-Calculator!K$3)*10000)+Volatilities_Resets!$I32)),IF(I43&gt;=K$2,IF(I43&lt;L$2,(((Volatilities_Resets!$I32-Volatilities_Resets!$G32)/50)*((Calculator!I43-Calculator!K$2)*10000)+Volatilities_Resets!$G32)),"Well, something broke...")))))))))))/10000</f>
        <v>1.7156000000000001E-2</v>
      </c>
      <c r="L43" s="47">
        <f t="shared" ca="1" si="17"/>
        <v>30649.305679714518</v>
      </c>
      <c r="M43" s="63">
        <f t="shared" ca="1" si="18"/>
        <v>1.2306468300357597E-3</v>
      </c>
      <c r="N43" s="63">
        <f t="shared" ca="1" si="44"/>
        <v>1215807.7790634534</v>
      </c>
      <c r="Q43" s="63">
        <f t="shared" ca="1" si="19"/>
        <v>106.79725799419654</v>
      </c>
      <c r="R43" s="63">
        <f ca="1">SUM($Q$15:Q43)</f>
        <v>1850.8887629210931</v>
      </c>
      <c r="T43" s="52">
        <f ca="1">EXP(-AVERAGE(J$15:J43)*G43)</f>
        <v>0.91385096433291335</v>
      </c>
      <c r="U43" s="57"/>
      <c r="V43" s="52">
        <f t="shared" ca="1" si="20"/>
        <v>29</v>
      </c>
      <c r="W43" s="71">
        <f t="shared" ca="1" si="21"/>
        <v>45861</v>
      </c>
      <c r="X43" s="71">
        <f t="shared" ca="1" si="3"/>
        <v>45892</v>
      </c>
      <c r="Y43" s="72">
        <f t="shared" ca="1" si="4"/>
        <v>31</v>
      </c>
      <c r="Z43" s="73">
        <f ca="1">SUM(Y$15:Y43)/360</f>
        <v>2.4555555555555557</v>
      </c>
      <c r="AA43" s="74">
        <f t="shared" si="22"/>
        <v>25000000</v>
      </c>
      <c r="AB43" s="59">
        <f t="shared" si="23"/>
        <v>0.03</v>
      </c>
      <c r="AC43" s="57">
        <f>Volatilities_Resets!$E32*0.01</f>
        <v>2.8616000000000003E-2</v>
      </c>
      <c r="AD43" s="61">
        <f>IF(AB43=AE$11,Volatilities_Resets!$AA32,IF(AB43&gt;=AD$11,IF(AB43&lt;AE$11,(((Volatilities_Resets!$AA32-Volatilities_Resets!$Y32)/50)*((Calculator!AB43-Calculator!AD$11)*10000)+Volatilities_Resets!$Y32)),IF(AB43&gt;=AD$10,IF(AB43&lt;AE$10,(((Volatilities_Resets!$Y32-Volatilities_Resets!$W32)/50)*((Calculator!AB43-Calculator!AD$10)*10000)+Volatilities_Resets!$W32)),IF(AB43&gt;=AD$9,IF(AB43&lt;AE$9,(((Volatilities_Resets!$W32-Volatilities_Resets!$U32)/50)*((Calculator!AB43-Calculator!AD$9)*10000)+Volatilities_Resets!$U32)),IF(AB43&gt;=AD$8,IF(AB43&lt;AE$8,(((Volatilities_Resets!$U32-Volatilities_Resets!$S32)/50)*((Calculator!AB43-Calculator!AD$8)*10000)+Volatilities_Resets!$S32)),IF(AB43&gt;=AD$7,IF(AB43&lt;AE$7,(((Volatilities_Resets!$S32-Volatilities_Resets!$Q32)/50)*((Calculator!AB43-Calculator!AD$7)*10000)+Volatilities_Resets!$Q32)),IF(AB43&gt;=AD$6,IF(AB43&lt;AE$6,(((Volatilities_Resets!$Q32-Volatilities_Resets!$O32)/50)*((Calculator!AB43-Calculator!AD$6)*10000)+Volatilities_Resets!$O32)),IF(AB43&gt;=AD$5,IF(AB43&lt;AE$5,(((Volatilities_Resets!$O32-Volatilities_Resets!$M32)/50)*((Calculator!AB43-Calculator!AD$5)*10000)+Volatilities_Resets!$M32)),IF(AB43&gt;=AD$4,IF(AB43&lt;AE$4,(((Volatilities_Resets!$M32-Volatilities_Resets!$K32)/50)*((Calculator!AB43-Calculator!AD$4)*10000)+Volatilities_Resets!$K32)),IF(AB43&gt;=AD$3,IF(AB43&lt;AE$3,(((Volatilities_Resets!$K32-Volatilities_Resets!$I32)/50)*((Calculator!AB43-Calculator!AD$3)*10000)+Volatilities_Resets!$I32)),IF(AB43&gt;=AD$2,IF(AB43&lt;AE$2,(((Volatilities_Resets!$I32-Volatilities_Resets!$G32)/50)*((Calculator!AB43-Calculator!AD$2)*10000)+Volatilities_Resets!$G32)),"Well, something broke...")))))))))))/10000</f>
        <v>1.7624999999999998E-2</v>
      </c>
      <c r="AE43" s="63">
        <f t="shared" ca="1" si="24"/>
        <v>20342.300655009603</v>
      </c>
      <c r="AF43" s="63">
        <f t="shared" ca="1" si="25"/>
        <v>8.1860537180151441E-4</v>
      </c>
      <c r="AG43" s="63">
        <f t="shared" ca="1" si="45"/>
        <v>803941.92302915978</v>
      </c>
      <c r="AJ43" s="63">
        <f t="shared" ca="1" si="26"/>
        <v>112.2516403923435</v>
      </c>
      <c r="AK43" s="63">
        <f ca="1">SUM($AJ$15:AJ43)</f>
        <v>2132.6836133432503</v>
      </c>
      <c r="AM43" s="52">
        <f ca="1">EXP(-AVERAGE(AC$15:AC43)*Z43)</f>
        <v>0.91385096433291335</v>
      </c>
      <c r="AO43" s="52">
        <f t="shared" ca="1" si="27"/>
        <v>29</v>
      </c>
      <c r="AP43" s="71">
        <f t="shared" ca="1" si="28"/>
        <v>45861</v>
      </c>
      <c r="AQ43" s="71">
        <f t="shared" ca="1" si="5"/>
        <v>45892</v>
      </c>
      <c r="AR43" s="72">
        <f t="shared" ca="1" si="6"/>
        <v>31</v>
      </c>
      <c r="AS43" s="73">
        <f ca="1">SUM(AR$15:AR43)/360</f>
        <v>2.4555555555555557</v>
      </c>
      <c r="AT43" s="74">
        <f t="shared" si="7"/>
        <v>25000000</v>
      </c>
      <c r="AU43" s="59">
        <f t="shared" si="29"/>
        <v>0.04</v>
      </c>
      <c r="AV43" s="57">
        <f>Volatilities_Resets!$E32*0.01</f>
        <v>2.8616000000000003E-2</v>
      </c>
      <c r="AW43" s="61">
        <f>IF(AU43=AX$11,Volatilities_Resets!$AA32,IF(AU43&gt;=AW$11,IF(AU43&lt;AX$11,(((Volatilities_Resets!$AA32-Volatilities_Resets!$Y32)/50)*((Calculator!AU43-Calculator!AW$11)*10000)+Volatilities_Resets!$Y32)),IF(AU43&gt;=AW$10,IF(AU43&lt;AX$10,(((Volatilities_Resets!$Y32-Volatilities_Resets!$W32)/50)*((Calculator!AU43-Calculator!AW$10)*10000)+Volatilities_Resets!$W32)),IF(AU43&gt;=AW$9,IF(AU43&lt;AX$9,(((Volatilities_Resets!$W32-Volatilities_Resets!$U32)/50)*((Calculator!AU43-Calculator!AW$9)*10000)+Volatilities_Resets!$U32)),IF(AU43&gt;=AW$8,IF(AU43&lt;AX$8,(((Volatilities_Resets!$U32-Volatilities_Resets!$S32)/50)*((Calculator!AU43-Calculator!AW$8)*10000)+Volatilities_Resets!$S32)),IF(AU43&gt;=AW$7,IF(AU43&lt;AX$7,(((Volatilities_Resets!$S32-Volatilities_Resets!$Q32)/50)*((Calculator!AU43-Calculator!AW$7)*10000)+Volatilities_Resets!$Q32)),IF(AU43&gt;=AW$6,IF(AU43&lt;AX$6,(((Volatilities_Resets!$Q32-Volatilities_Resets!$O32)/50)*((Calculator!AU43-Calculator!AW$6)*10000)+Volatilities_Resets!$O32)),IF(AU43&gt;=AW$5,IF(AU43&lt;AX$5,(((Volatilities_Resets!$O32-Volatilities_Resets!$M32)/50)*((Calculator!AU43-Calculator!AW$5)*10000)+Volatilities_Resets!$M32)),IF(AU43&gt;=AW$4,IF(AU43&lt;AX$4,(((Volatilities_Resets!$M32-Volatilities_Resets!$K32)/50)*((Calculator!AU43-Calculator!AW$4)*10000)+Volatilities_Resets!$K32)),IF(AU43&gt;=AW$3,IF(AU43&lt;AX$3,(((Volatilities_Resets!$K32-Volatilities_Resets!$I32)/50)*((Calculator!AU43-Calculator!AW$3)*10000)+Volatilities_Resets!$I32)),IF(AU43&gt;=AW$2,IF(AU43&lt;AX$2,(((Volatilities_Resets!$I32-Volatilities_Resets!$G32)/50)*((Calculator!AU43-Calculator!AW$2)*10000)+Volatilities_Resets!$G32)),"Well, something broke...")))))))))))/10000</f>
        <v>1.8565000000000002E-2</v>
      </c>
      <c r="AX43" s="63">
        <f t="shared" ca="1" si="30"/>
        <v>13360.742148294918</v>
      </c>
      <c r="AY43" s="63">
        <f t="shared" ca="1" si="31"/>
        <v>5.3898844558686841E-4</v>
      </c>
      <c r="AZ43" s="63">
        <f t="shared" ca="1" si="46"/>
        <v>459670.18938931217</v>
      </c>
      <c r="BC43" s="63">
        <f t="shared" ca="1" si="8"/>
        <v>104.15067267373121</v>
      </c>
      <c r="BD43" s="63">
        <f ca="1">SUM($BC$15:BC43)</f>
        <v>2179.6555697281697</v>
      </c>
      <c r="BF43" s="52">
        <f ca="1">EXP(-AVERAGE(AV$15:AV43)*AS43)</f>
        <v>0.91385096433291335</v>
      </c>
      <c r="BH43" s="52">
        <f t="shared" ca="1" si="32"/>
        <v>29</v>
      </c>
      <c r="BI43" s="71">
        <f t="shared" ca="1" si="33"/>
        <v>45861</v>
      </c>
      <c r="BJ43" s="71">
        <f t="shared" ca="1" si="9"/>
        <v>45892</v>
      </c>
      <c r="BK43" s="72">
        <f t="shared" ca="1" si="10"/>
        <v>31</v>
      </c>
      <c r="BL43" s="73">
        <f ca="1">SUM(BK$15:BK43)/360</f>
        <v>2.4555555555555557</v>
      </c>
      <c r="BM43" s="74">
        <f t="shared" si="11"/>
        <v>25000000</v>
      </c>
      <c r="BN43" s="59">
        <f t="shared" si="34"/>
        <v>0.05</v>
      </c>
      <c r="BO43" s="57">
        <f>Volatilities_Resets!$E32*0.01</f>
        <v>2.8616000000000003E-2</v>
      </c>
      <c r="BP43" s="61">
        <f>IF(BN43=BQ$11,Volatilities_Resets!$AA32,IF(BN43&gt;=BP$11,IF(BN43&lt;BQ$11,(((Volatilities_Resets!$AA32-Volatilities_Resets!$Y32)/50)*((Calculator!BN43-Calculator!BP$11)*10000)+Volatilities_Resets!$Y32)),IF(BN43&gt;=BP$10,IF(BN43&lt;BQ$10,(((Volatilities_Resets!$Y32-Volatilities_Resets!$W32)/50)*((Calculator!BN43-Calculator!BP$10)*10000)+Volatilities_Resets!$W32)),IF(BN43&gt;=BP$9,IF(BN43&lt;BQ$9,(((Volatilities_Resets!$W32-Volatilities_Resets!$U32)/50)*((Calculator!BN43-Calculator!BP$9)*10000)+Volatilities_Resets!$U32)),IF(BN43&gt;=BP$8,IF(BN43&lt;BQ$8,(((Volatilities_Resets!$U32-Volatilities_Resets!$S32)/50)*((Calculator!BN43-Calculator!BP$8)*10000)+Volatilities_Resets!$S32)),IF(BN43&gt;=BP$7,IF(BN43&lt;BQ$7,(((Volatilities_Resets!$S32-Volatilities_Resets!$Q32)/50)*((Calculator!BN43-Calculator!BP$7)*10000)+Volatilities_Resets!$Q32)),IF(BN43&gt;=BP$6,IF(BN43&lt;BQ$6,(((Volatilities_Resets!$Q32-Volatilities_Resets!$O32)/50)*((Calculator!BN43-Calculator!BP$6)*10000)+Volatilities_Resets!$O32)),IF(BN43&gt;=BP$5,IF(BN43&lt;BQ$5,(((Volatilities_Resets!$O32-Volatilities_Resets!$M32)/50)*((Calculator!BN43-Calculator!BP$5)*10000)+Volatilities_Resets!$M32)),IF(BN43&gt;=BP$4,IF(BN43&lt;BQ$4,(((Volatilities_Resets!$M32-Volatilities_Resets!$K32)/50)*((Calculator!BN43-Calculator!BP$4)*10000)+Volatilities_Resets!$K32)),IF(BN43&gt;=BP$3,IF(BN43&lt;BQ$3,(((Volatilities_Resets!$K32-Volatilities_Resets!$I32)/50)*((Calculator!BN43-Calculator!BP$3)*10000)+Volatilities_Resets!$I32)),IF(BN43&gt;=BP$2,IF(BN43&lt;BQ$2,(((Volatilities_Resets!$I32-Volatilities_Resets!$G32)/50)*((Calculator!BN43-Calculator!BP$2)*10000)+Volatilities_Resets!$G32)),"Well, something broke...")))))))))))/10000</f>
        <v>1.8828000000000001E-2</v>
      </c>
      <c r="BQ43" s="63">
        <f t="shared" ca="1" si="35"/>
        <v>7950.6483842005846</v>
      </c>
      <c r="BR43" s="63">
        <f t="shared" ca="1" si="36"/>
        <v>3.2181429867236214E-4</v>
      </c>
      <c r="BS43" s="63">
        <f t="shared" ca="1" si="47"/>
        <v>209146.51261084186</v>
      </c>
      <c r="BV43" s="63">
        <f t="shared" ca="1" si="37"/>
        <v>86.549986472835243</v>
      </c>
      <c r="BW43" s="63">
        <f ca="1">SUM($BV$15:BV43)</f>
        <v>1900.3712207587992</v>
      </c>
      <c r="BY43" s="52">
        <f ca="1">EXP(-AVERAGE(BO$15:BO43)*BL43)</f>
        <v>0.91385096433291335</v>
      </c>
      <c r="CA43" s="52">
        <f t="shared" ca="1" si="38"/>
        <v>29</v>
      </c>
      <c r="CB43" s="71">
        <f t="shared" ca="1" si="39"/>
        <v>45861</v>
      </c>
      <c r="CC43" s="71">
        <f t="shared" ca="1" si="12"/>
        <v>45892</v>
      </c>
      <c r="CD43" s="72">
        <f t="shared" ca="1" si="13"/>
        <v>31</v>
      </c>
      <c r="CE43" s="73">
        <f ca="1">SUM(CD$15:CD43)/360</f>
        <v>2.4555555555555557</v>
      </c>
      <c r="CF43" s="74">
        <f t="shared" si="14"/>
        <v>25000000</v>
      </c>
      <c r="CG43" s="59">
        <f t="shared" si="40"/>
        <v>0.06</v>
      </c>
      <c r="CH43" s="57">
        <f>Volatilities_Resets!$E32*0.01</f>
        <v>2.8616000000000003E-2</v>
      </c>
      <c r="CI43" s="61">
        <f>IF(CG43=CJ$11,Volatilities_Resets!$AA32,IF(CG43&gt;=CI$11,IF(CG43&lt;CJ$11,(((Volatilities_Resets!$AA32-Volatilities_Resets!$Y32)/50)*((Calculator!CG43-Calculator!CI$11)*10000)+Volatilities_Resets!$Y32)),IF(CG43&gt;=CI$10,IF(CG43&lt;CJ$10,(((Volatilities_Resets!$Y32-Volatilities_Resets!$W32)/50)*((Calculator!CG43-Calculator!CI$10)*10000)+Volatilities_Resets!$W32)),IF(CG43&gt;=CI$9,IF(CG43&lt;CJ$9,(((Volatilities_Resets!$W32-Volatilities_Resets!$U32)/50)*((Calculator!CG43-Calculator!CI$9)*10000)+Volatilities_Resets!$U32)),IF(CG43&gt;=CI$8,IF(CG43&lt;CJ$8,(((Volatilities_Resets!$U32-Volatilities_Resets!$S32)/50)*((Calculator!CG43-Calculator!CI$8)*10000)+Volatilities_Resets!$S32)),IF(CG43&gt;=CI$7,IF(CG43&lt;CJ$7,(((Volatilities_Resets!$S32-Volatilities_Resets!$Q32)/50)*((Calculator!CG43-Calculator!CI$7)*10000)+Volatilities_Resets!$Q32)),IF(CG43&gt;=CI$6,IF(CG43&lt;CJ$6,(((Volatilities_Resets!$Q32-Volatilities_Resets!$O32)/50)*((Calculator!CG43-Calculator!CI$6)*10000)+Volatilities_Resets!$O32)),IF(CG43&gt;=CI$5,IF(CG43&lt;CJ$5,(((Volatilities_Resets!$O32-Volatilities_Resets!$M32)/50)*((Calculator!CG43-Calculator!CI$5)*10000)+Volatilities_Resets!$M32)),IF(CG43&gt;=CI$4,IF(CG43&lt;CJ$4,(((Volatilities_Resets!$M32-Volatilities_Resets!$K32)/50)*((Calculator!CG43-Calculator!CI$4)*10000)+Volatilities_Resets!$K32)),IF(CG43&gt;=CI$3,IF(CG43&lt;CJ$3,(((Volatilities_Resets!$K32-Volatilities_Resets!$I32)/50)*((Calculator!CG43-Calculator!CI$3)*10000)+Volatilities_Resets!$I32)),IF(CG43&gt;=CI$2,IF(CG43&lt;CJ$2,(((Volatilities_Resets!$I32-Volatilities_Resets!$G32)/50)*((Calculator!CG43-Calculator!CI$2)*10000)+Volatilities_Resets!$G32)),"Well, something broke...")))))))))))/10000</f>
        <v>1.9671000000000001E-2</v>
      </c>
      <c r="CJ43" s="63">
        <f t="shared" ca="1" si="41"/>
        <v>4880.3266323614744</v>
      </c>
      <c r="CK43" s="63">
        <f t="shared" ca="1" si="42"/>
        <v>1.9815045977929308E-4</v>
      </c>
      <c r="CL43" s="63">
        <f t="shared" ca="1" si="48"/>
        <v>90273.756664895089</v>
      </c>
      <c r="CO43" s="63">
        <f t="shared" ca="1" si="43"/>
        <v>67.108519564795529</v>
      </c>
      <c r="CP43" s="63">
        <f ca="1">SUM($CO$15:CO43)</f>
        <v>1299.9331634168825</v>
      </c>
      <c r="CR43" s="52">
        <f ca="1">EXP(-AVERAGE(CH$15:CH43)*CE43)</f>
        <v>0.91385096433291335</v>
      </c>
      <c r="CT43"/>
      <c r="CU43"/>
      <c r="CV43"/>
      <c r="CW43"/>
      <c r="CX43"/>
      <c r="CY43"/>
      <c r="CZ43"/>
      <c r="DA43"/>
      <c r="DB43"/>
      <c r="DC43"/>
      <c r="DD43"/>
      <c r="DE43"/>
      <c r="DF43"/>
      <c r="DG43"/>
      <c r="DH43"/>
      <c r="DI43"/>
      <c r="DJ43"/>
      <c r="DK43"/>
      <c r="DL43"/>
    </row>
    <row r="44" spans="2:116" ht="15.75" customHeight="1">
      <c r="B44" s="52">
        <v>3</v>
      </c>
      <c r="C44" s="52">
        <f t="shared" ca="1" si="15"/>
        <v>30</v>
      </c>
      <c r="D44" s="71">
        <f t="shared" ca="1" si="16"/>
        <v>45892</v>
      </c>
      <c r="E44" s="71">
        <f t="shared" ca="1" si="0"/>
        <v>45923</v>
      </c>
      <c r="F44" s="72">
        <f t="shared" ca="1" si="1"/>
        <v>31</v>
      </c>
      <c r="G44" s="73">
        <f ca="1">SUM($F$15:F44)/360</f>
        <v>2.5416666666666665</v>
      </c>
      <c r="H44" s="74">
        <f t="shared" si="2"/>
        <v>25000000</v>
      </c>
      <c r="I44" s="59">
        <f>IF('Cap Pricer'!$E$22=DataValidation!$C$2,'Cap Pricer'!$E$23,IF('Cap Pricer'!$E$22=DataValidation!$C$3,VLOOKUP($B44,'Cap Pricer'!$C$25:$E$31,3),""))</f>
        <v>0.02</v>
      </c>
      <c r="J44" s="57">
        <f>Volatilities_Resets!$E33*0.01</f>
        <v>2.8618299999999999E-2</v>
      </c>
      <c r="K44" s="61">
        <f>IF(I44=L$11,Volatilities_Resets!$AA33,IF(I44&gt;=K$11,IF(I44&lt;L$11,(((Volatilities_Resets!$AA33-Volatilities_Resets!$Y33)/50)*((Calculator!I44-Calculator!K$11)*10000)+Volatilities_Resets!$Y33)),IF(I44&gt;=K$10,IF(I44&lt;L$10,(((Volatilities_Resets!$Y33-Volatilities_Resets!$W33)/50)*((Calculator!I44-Calculator!K$10)*10000)+Volatilities_Resets!$W33)),IF(I44&gt;=K$9,IF(I44&lt;L$9,(((Volatilities_Resets!$W33-Volatilities_Resets!$U33)/50)*((Calculator!I44-Calculator!K$9)*10000)+Volatilities_Resets!$U33)),IF(I44&gt;=K$8,IF(I44&lt;L$8,(((Volatilities_Resets!$U33-Volatilities_Resets!$S33)/50)*((Calculator!I44-Calculator!K$8)*10000)+Volatilities_Resets!$S33)),IF(I44&gt;=K$7,IF(I44&lt;L$7,(((Volatilities_Resets!$S33-Volatilities_Resets!$Q33)/50)*((Calculator!I44-Calculator!K$7)*10000)+Volatilities_Resets!$Q33)),IF(I44&gt;=K$6,IF(I44&lt;L$6,(((Volatilities_Resets!$Q33-Volatilities_Resets!$O33)/50)*((Calculator!I44-Calculator!K$6)*10000)+Volatilities_Resets!$O33)),IF(I44&gt;=K$5,IF(I44&lt;L$5,(((Volatilities_Resets!$O33-Volatilities_Resets!$M33)/50)*((Calculator!I44-Calculator!K$5)*10000)+Volatilities_Resets!$M33)),IF(I44&gt;=K$4,IF(I44&lt;L$4,(((Volatilities_Resets!$M33-Volatilities_Resets!$K33)/50)*((Calculator!I44-Calculator!K$4)*10000)+Volatilities_Resets!$K33)),IF(I44&gt;=K$3,IF(I44&lt;L$3,(((Volatilities_Resets!$K33-Volatilities_Resets!$I33)/50)*((Calculator!I44-Calculator!K$3)*10000)+Volatilities_Resets!$I33)),IF(I44&gt;=K$2,IF(I44&lt;L$2,(((Volatilities_Resets!$I33-Volatilities_Resets!$G33)/50)*((Calculator!I44-Calculator!K$2)*10000)+Volatilities_Resets!$G33)),"Well, something broke...")))))))))))/10000</f>
        <v>1.7156000000000001E-2</v>
      </c>
      <c r="L44" s="47">
        <f t="shared" ca="1" si="17"/>
        <v>30924.19549589113</v>
      </c>
      <c r="M44" s="63">
        <f t="shared" ca="1" si="18"/>
        <v>1.2417200104164656E-3</v>
      </c>
      <c r="N44" s="63">
        <f t="shared" ca="1" si="44"/>
        <v>1246731.9745593446</v>
      </c>
      <c r="Q44" s="63">
        <f t="shared" ca="1" si="19"/>
        <v>108.30140979034903</v>
      </c>
      <c r="R44" s="63">
        <f ca="1">SUM($Q$15:Q44)</f>
        <v>1959.1901727114421</v>
      </c>
      <c r="T44" s="52">
        <f ca="1">EXP(-AVERAGE(J$15:J44)*G44)</f>
        <v>0.91159146880553876</v>
      </c>
      <c r="U44" s="57"/>
      <c r="V44" s="52">
        <f t="shared" ca="1" si="20"/>
        <v>30</v>
      </c>
      <c r="W44" s="71">
        <f t="shared" ca="1" si="21"/>
        <v>45892</v>
      </c>
      <c r="X44" s="71">
        <f t="shared" ca="1" si="3"/>
        <v>45923</v>
      </c>
      <c r="Y44" s="72">
        <f t="shared" ca="1" si="4"/>
        <v>31</v>
      </c>
      <c r="Z44" s="73">
        <f ca="1">SUM(Y$15:Y44)/360</f>
        <v>2.5416666666666665</v>
      </c>
      <c r="AA44" s="74">
        <f t="shared" si="22"/>
        <v>25000000</v>
      </c>
      <c r="AB44" s="59">
        <f t="shared" si="23"/>
        <v>0.03</v>
      </c>
      <c r="AC44" s="57">
        <f>Volatilities_Resets!$E33*0.01</f>
        <v>2.8618299999999999E-2</v>
      </c>
      <c r="AD44" s="61">
        <f>IF(AB44=AE$11,Volatilities_Resets!$AA33,IF(AB44&gt;=AD$11,IF(AB44&lt;AE$11,(((Volatilities_Resets!$AA33-Volatilities_Resets!$Y33)/50)*((Calculator!AB44-Calculator!AD$11)*10000)+Volatilities_Resets!$Y33)),IF(AB44&gt;=AD$10,IF(AB44&lt;AE$10,(((Volatilities_Resets!$Y33-Volatilities_Resets!$W33)/50)*((Calculator!AB44-Calculator!AD$10)*10000)+Volatilities_Resets!$W33)),IF(AB44&gt;=AD$9,IF(AB44&lt;AE$9,(((Volatilities_Resets!$W33-Volatilities_Resets!$U33)/50)*((Calculator!AB44-Calculator!AD$9)*10000)+Volatilities_Resets!$U33)),IF(AB44&gt;=AD$8,IF(AB44&lt;AE$8,(((Volatilities_Resets!$U33-Volatilities_Resets!$S33)/50)*((Calculator!AB44-Calculator!AD$8)*10000)+Volatilities_Resets!$S33)),IF(AB44&gt;=AD$7,IF(AB44&lt;AE$7,(((Volatilities_Resets!$S33-Volatilities_Resets!$Q33)/50)*((Calculator!AB44-Calculator!AD$7)*10000)+Volatilities_Resets!$Q33)),IF(AB44&gt;=AD$6,IF(AB44&lt;AE$6,(((Volatilities_Resets!$Q33-Volatilities_Resets!$O33)/50)*((Calculator!AB44-Calculator!AD$6)*10000)+Volatilities_Resets!$O33)),IF(AB44&gt;=AD$5,IF(AB44&lt;AE$5,(((Volatilities_Resets!$O33-Volatilities_Resets!$M33)/50)*((Calculator!AB44-Calculator!AD$5)*10000)+Volatilities_Resets!$M33)),IF(AB44&gt;=AD$4,IF(AB44&lt;AE$4,(((Volatilities_Resets!$M33-Volatilities_Resets!$K33)/50)*((Calculator!AB44-Calculator!AD$4)*10000)+Volatilities_Resets!$K33)),IF(AB44&gt;=AD$3,IF(AB44&lt;AE$3,(((Volatilities_Resets!$K33-Volatilities_Resets!$I33)/50)*((Calculator!AB44-Calculator!AD$3)*10000)+Volatilities_Resets!$I33)),IF(AB44&gt;=AD$2,IF(AB44&lt;AE$2,(((Volatilities_Resets!$I33-Volatilities_Resets!$G33)/50)*((Calculator!AB44-Calculator!AD$2)*10000)+Volatilities_Resets!$G33)),"Well, something broke...")))))))))))/10000</f>
        <v>1.7625999999999999E-2</v>
      </c>
      <c r="AE44" s="63">
        <f t="shared" ca="1" si="24"/>
        <v>20670.823029319457</v>
      </c>
      <c r="AF44" s="63">
        <f t="shared" ca="1" si="25"/>
        <v>8.3181954690500764E-4</v>
      </c>
      <c r="AG44" s="63">
        <f t="shared" ca="1" si="45"/>
        <v>824612.74605847918</v>
      </c>
      <c r="AJ44" s="63">
        <f t="shared" ca="1" si="26"/>
        <v>113.64413689066205</v>
      </c>
      <c r="AK44" s="63">
        <f ca="1">SUM($AJ$15:AJ44)</f>
        <v>2246.3277502339124</v>
      </c>
      <c r="AM44" s="52">
        <f ca="1">EXP(-AVERAGE(AC$15:AC44)*Z44)</f>
        <v>0.91159146880553876</v>
      </c>
      <c r="AO44" s="52">
        <f t="shared" ca="1" si="27"/>
        <v>30</v>
      </c>
      <c r="AP44" s="71">
        <f t="shared" ca="1" si="28"/>
        <v>45892</v>
      </c>
      <c r="AQ44" s="71">
        <f t="shared" ca="1" si="5"/>
        <v>45923</v>
      </c>
      <c r="AR44" s="72">
        <f t="shared" ca="1" si="6"/>
        <v>31</v>
      </c>
      <c r="AS44" s="73">
        <f ca="1">SUM(AR$15:AR44)/360</f>
        <v>2.5416666666666665</v>
      </c>
      <c r="AT44" s="74">
        <f t="shared" si="7"/>
        <v>25000000</v>
      </c>
      <c r="AU44" s="59">
        <f t="shared" si="29"/>
        <v>0.04</v>
      </c>
      <c r="AV44" s="57">
        <f>Volatilities_Resets!$E33*0.01</f>
        <v>2.8618299999999999E-2</v>
      </c>
      <c r="AW44" s="61">
        <f>IF(AU44=AX$11,Volatilities_Resets!$AA33,IF(AU44&gt;=AW$11,IF(AU44&lt;AX$11,(((Volatilities_Resets!$AA33-Volatilities_Resets!$Y33)/50)*((Calculator!AU44-Calculator!AW$11)*10000)+Volatilities_Resets!$Y33)),IF(AU44&gt;=AW$10,IF(AU44&lt;AX$10,(((Volatilities_Resets!$Y33-Volatilities_Resets!$W33)/50)*((Calculator!AU44-Calculator!AW$10)*10000)+Volatilities_Resets!$W33)),IF(AU44&gt;=AW$9,IF(AU44&lt;AX$9,(((Volatilities_Resets!$W33-Volatilities_Resets!$U33)/50)*((Calculator!AU44-Calculator!AW$9)*10000)+Volatilities_Resets!$U33)),IF(AU44&gt;=AW$8,IF(AU44&lt;AX$8,(((Volatilities_Resets!$U33-Volatilities_Resets!$S33)/50)*((Calculator!AU44-Calculator!AW$8)*10000)+Volatilities_Resets!$S33)),IF(AU44&gt;=AW$7,IF(AU44&lt;AX$7,(((Volatilities_Resets!$S33-Volatilities_Resets!$Q33)/50)*((Calculator!AU44-Calculator!AW$7)*10000)+Volatilities_Resets!$Q33)),IF(AU44&gt;=AW$6,IF(AU44&lt;AX$6,(((Volatilities_Resets!$Q33-Volatilities_Resets!$O33)/50)*((Calculator!AU44-Calculator!AW$6)*10000)+Volatilities_Resets!$O33)),IF(AU44&gt;=AW$5,IF(AU44&lt;AX$5,(((Volatilities_Resets!$O33-Volatilities_Resets!$M33)/50)*((Calculator!AU44-Calculator!AW$5)*10000)+Volatilities_Resets!$M33)),IF(AU44&gt;=AW$4,IF(AU44&lt;AX$4,(((Volatilities_Resets!$M33-Volatilities_Resets!$K33)/50)*((Calculator!AU44-Calculator!AW$4)*10000)+Volatilities_Resets!$K33)),IF(AU44&gt;=AW$3,IF(AU44&lt;AX$3,(((Volatilities_Resets!$K33-Volatilities_Resets!$I33)/50)*((Calculator!AU44-Calculator!AW$3)*10000)+Volatilities_Resets!$I33)),IF(AU44&gt;=AW$2,IF(AU44&lt;AX$2,(((Volatilities_Resets!$I33-Volatilities_Resets!$G33)/50)*((Calculator!AU44-Calculator!AW$2)*10000)+Volatilities_Resets!$G33)),"Well, something broke...")))))))))))/10000</f>
        <v>1.8565000000000002E-2</v>
      </c>
      <c r="AX44" s="63">
        <f t="shared" ca="1" si="30"/>
        <v>13696.501452760589</v>
      </c>
      <c r="AY44" s="63">
        <f t="shared" ca="1" si="31"/>
        <v>5.5249868453509474E-4</v>
      </c>
      <c r="AZ44" s="63">
        <f t="shared" ca="1" si="46"/>
        <v>473366.69084207277</v>
      </c>
      <c r="BC44" s="63">
        <f t="shared" ca="1" si="8"/>
        <v>105.71330689265513</v>
      </c>
      <c r="BD44" s="63">
        <f ca="1">SUM($BC$15:BC44)</f>
        <v>2285.3688766208247</v>
      </c>
      <c r="BF44" s="52">
        <f ca="1">EXP(-AVERAGE(AV$15:AV44)*AS44)</f>
        <v>0.91159146880553876</v>
      </c>
      <c r="BH44" s="52">
        <f t="shared" ca="1" si="32"/>
        <v>30</v>
      </c>
      <c r="BI44" s="71">
        <f t="shared" ca="1" si="33"/>
        <v>45892</v>
      </c>
      <c r="BJ44" s="71">
        <f t="shared" ca="1" si="9"/>
        <v>45923</v>
      </c>
      <c r="BK44" s="72">
        <f t="shared" ca="1" si="10"/>
        <v>31</v>
      </c>
      <c r="BL44" s="73">
        <f ca="1">SUM(BK$15:BK44)/360</f>
        <v>2.5416666666666665</v>
      </c>
      <c r="BM44" s="74">
        <f t="shared" si="11"/>
        <v>25000000</v>
      </c>
      <c r="BN44" s="59">
        <f t="shared" si="34"/>
        <v>0.05</v>
      </c>
      <c r="BO44" s="57">
        <f>Volatilities_Resets!$E33*0.01</f>
        <v>2.8618299999999999E-2</v>
      </c>
      <c r="BP44" s="61">
        <f>IF(BN44=BQ$11,Volatilities_Resets!$AA33,IF(BN44&gt;=BP$11,IF(BN44&lt;BQ$11,(((Volatilities_Resets!$AA33-Volatilities_Resets!$Y33)/50)*((Calculator!BN44-Calculator!BP$11)*10000)+Volatilities_Resets!$Y33)),IF(BN44&gt;=BP$10,IF(BN44&lt;BQ$10,(((Volatilities_Resets!$Y33-Volatilities_Resets!$W33)/50)*((Calculator!BN44-Calculator!BP$10)*10000)+Volatilities_Resets!$W33)),IF(BN44&gt;=BP$9,IF(BN44&lt;BQ$9,(((Volatilities_Resets!$W33-Volatilities_Resets!$U33)/50)*((Calculator!BN44-Calculator!BP$9)*10000)+Volatilities_Resets!$U33)),IF(BN44&gt;=BP$8,IF(BN44&lt;BQ$8,(((Volatilities_Resets!$U33-Volatilities_Resets!$S33)/50)*((Calculator!BN44-Calculator!BP$8)*10000)+Volatilities_Resets!$S33)),IF(BN44&gt;=BP$7,IF(BN44&lt;BQ$7,(((Volatilities_Resets!$S33-Volatilities_Resets!$Q33)/50)*((Calculator!BN44-Calculator!BP$7)*10000)+Volatilities_Resets!$Q33)),IF(BN44&gt;=BP$6,IF(BN44&lt;BQ$6,(((Volatilities_Resets!$Q33-Volatilities_Resets!$O33)/50)*((Calculator!BN44-Calculator!BP$6)*10000)+Volatilities_Resets!$O33)),IF(BN44&gt;=BP$5,IF(BN44&lt;BQ$5,(((Volatilities_Resets!$O33-Volatilities_Resets!$M33)/50)*((Calculator!BN44-Calculator!BP$5)*10000)+Volatilities_Resets!$M33)),IF(BN44&gt;=BP$4,IF(BN44&lt;BQ$4,(((Volatilities_Resets!$M33-Volatilities_Resets!$K33)/50)*((Calculator!BN44-Calculator!BP$4)*10000)+Volatilities_Resets!$K33)),IF(BN44&gt;=BP$3,IF(BN44&lt;BQ$3,(((Volatilities_Resets!$K33-Volatilities_Resets!$I33)/50)*((Calculator!BN44-Calculator!BP$3)*10000)+Volatilities_Resets!$I33)),IF(BN44&gt;=BP$2,IF(BN44&lt;BQ$2,(((Volatilities_Resets!$I33-Volatilities_Resets!$G33)/50)*((Calculator!BN44-Calculator!BP$2)*10000)+Volatilities_Resets!$G33)),"Well, something broke...")))))))))))/10000</f>
        <v>1.8828000000000001E-2</v>
      </c>
      <c r="BQ44" s="63">
        <f t="shared" ca="1" si="35"/>
        <v>8242.2278056815539</v>
      </c>
      <c r="BR44" s="63">
        <f t="shared" ca="1" si="36"/>
        <v>3.3356819240850879E-4</v>
      </c>
      <c r="BS44" s="63">
        <f t="shared" ca="1" si="47"/>
        <v>217388.74041652342</v>
      </c>
      <c r="BV44" s="63">
        <f t="shared" ca="1" si="37"/>
        <v>88.403410000927451</v>
      </c>
      <c r="BW44" s="63">
        <f ca="1">SUM($BV$15:BV44)</f>
        <v>1988.7746307597265</v>
      </c>
      <c r="BY44" s="52">
        <f ca="1">EXP(-AVERAGE(BO$15:BO44)*BL44)</f>
        <v>0.91159146880553876</v>
      </c>
      <c r="CA44" s="52">
        <f t="shared" ca="1" si="38"/>
        <v>30</v>
      </c>
      <c r="CB44" s="71">
        <f t="shared" ca="1" si="39"/>
        <v>45892</v>
      </c>
      <c r="CC44" s="71">
        <f t="shared" ca="1" si="12"/>
        <v>45923</v>
      </c>
      <c r="CD44" s="72">
        <f t="shared" ca="1" si="13"/>
        <v>31</v>
      </c>
      <c r="CE44" s="73">
        <f ca="1">SUM(CD$15:CD44)/360</f>
        <v>2.5416666666666665</v>
      </c>
      <c r="CF44" s="74">
        <f t="shared" si="14"/>
        <v>25000000</v>
      </c>
      <c r="CG44" s="59">
        <f t="shared" si="40"/>
        <v>0.06</v>
      </c>
      <c r="CH44" s="57">
        <f>Volatilities_Resets!$E33*0.01</f>
        <v>2.8618299999999999E-2</v>
      </c>
      <c r="CI44" s="61">
        <f>IF(CG44=CJ$11,Volatilities_Resets!$AA33,IF(CG44&gt;=CI$11,IF(CG44&lt;CJ$11,(((Volatilities_Resets!$AA33-Volatilities_Resets!$Y33)/50)*((Calculator!CG44-Calculator!CI$11)*10000)+Volatilities_Resets!$Y33)),IF(CG44&gt;=CI$10,IF(CG44&lt;CJ$10,(((Volatilities_Resets!$Y33-Volatilities_Resets!$W33)/50)*((Calculator!CG44-Calculator!CI$10)*10000)+Volatilities_Resets!$W33)),IF(CG44&gt;=CI$9,IF(CG44&lt;CJ$9,(((Volatilities_Resets!$W33-Volatilities_Resets!$U33)/50)*((Calculator!CG44-Calculator!CI$9)*10000)+Volatilities_Resets!$U33)),IF(CG44&gt;=CI$8,IF(CG44&lt;CJ$8,(((Volatilities_Resets!$U33-Volatilities_Resets!$S33)/50)*((Calculator!CG44-Calculator!CI$8)*10000)+Volatilities_Resets!$S33)),IF(CG44&gt;=CI$7,IF(CG44&lt;CJ$7,(((Volatilities_Resets!$S33-Volatilities_Resets!$Q33)/50)*((Calculator!CG44-Calculator!CI$7)*10000)+Volatilities_Resets!$Q33)),IF(CG44&gt;=CI$6,IF(CG44&lt;CJ$6,(((Volatilities_Resets!$Q33-Volatilities_Resets!$O33)/50)*((Calculator!CG44-Calculator!CI$6)*10000)+Volatilities_Resets!$O33)),IF(CG44&gt;=CI$5,IF(CG44&lt;CJ$5,(((Volatilities_Resets!$O33-Volatilities_Resets!$M33)/50)*((Calculator!CG44-Calculator!CI$5)*10000)+Volatilities_Resets!$M33)),IF(CG44&gt;=CI$4,IF(CG44&lt;CJ$4,(((Volatilities_Resets!$M33-Volatilities_Resets!$K33)/50)*((Calculator!CG44-Calculator!CI$4)*10000)+Volatilities_Resets!$K33)),IF(CG44&gt;=CI$3,IF(CG44&lt;CJ$3,(((Volatilities_Resets!$K33-Volatilities_Resets!$I33)/50)*((Calculator!CG44-Calculator!CI$3)*10000)+Volatilities_Resets!$I33)),IF(CG44&gt;=CI$2,IF(CG44&lt;CJ$2,(((Volatilities_Resets!$I33-Volatilities_Resets!$G33)/50)*((Calculator!CG44-Calculator!CI$2)*10000)+Volatilities_Resets!$G33)),"Well, something broke...")))))))))))/10000</f>
        <v>1.9671999999999999E-2</v>
      </c>
      <c r="CJ44" s="63">
        <f t="shared" ca="1" si="41"/>
        <v>5121.7822368883735</v>
      </c>
      <c r="CK44" s="63">
        <f t="shared" ca="1" si="42"/>
        <v>2.0790527024763512E-4</v>
      </c>
      <c r="CL44" s="63">
        <f t="shared" ca="1" si="48"/>
        <v>95395.538901783468</v>
      </c>
      <c r="CO44" s="63">
        <f t="shared" ca="1" si="43"/>
        <v>69.143774709164475</v>
      </c>
      <c r="CP44" s="63">
        <f ca="1">SUM($CO$15:CO44)</f>
        <v>1369.076938126047</v>
      </c>
      <c r="CR44" s="52">
        <f ca="1">EXP(-AVERAGE(CH$15:CH44)*CE44)</f>
        <v>0.91159146880553876</v>
      </c>
      <c r="CT44"/>
      <c r="CU44"/>
      <c r="CV44"/>
      <c r="CW44"/>
      <c r="CX44"/>
      <c r="CY44"/>
      <c r="CZ44"/>
      <c r="DA44"/>
      <c r="DB44"/>
      <c r="DC44"/>
      <c r="DD44"/>
      <c r="DE44"/>
      <c r="DF44"/>
      <c r="DG44"/>
      <c r="DH44"/>
      <c r="DI44"/>
      <c r="DJ44"/>
      <c r="DK44"/>
      <c r="DL44"/>
    </row>
    <row r="45" spans="2:116" ht="15.75" customHeight="1">
      <c r="B45" s="52">
        <v>3</v>
      </c>
      <c r="C45" s="52">
        <f t="shared" ca="1" si="15"/>
        <v>31</v>
      </c>
      <c r="D45" s="71">
        <f t="shared" ca="1" si="16"/>
        <v>45923</v>
      </c>
      <c r="E45" s="71">
        <f t="shared" ca="1" si="0"/>
        <v>45953</v>
      </c>
      <c r="F45" s="72">
        <f t="shared" ca="1" si="1"/>
        <v>30</v>
      </c>
      <c r="G45" s="73">
        <f ca="1">SUM($F$15:F45)/360</f>
        <v>2.625</v>
      </c>
      <c r="H45" s="74">
        <f t="shared" si="2"/>
        <v>25000000</v>
      </c>
      <c r="I45" s="59">
        <f>IF('Cap Pricer'!$E$22=DataValidation!$C$2,'Cap Pricer'!$E$23,IF('Cap Pricer'!$E$22=DataValidation!$C$3,VLOOKUP($B45,'Cap Pricer'!$C$25:$E$31,3),""))</f>
        <v>0.02</v>
      </c>
      <c r="J45" s="57">
        <f>Volatilities_Resets!$E34*0.01</f>
        <v>2.8617200000000002E-2</v>
      </c>
      <c r="K45" s="61">
        <f>IF(I45=L$11,Volatilities_Resets!$AA34,IF(I45&gt;=K$11,IF(I45&lt;L$11,(((Volatilities_Resets!$AA34-Volatilities_Resets!$Y34)/50)*((Calculator!I45-Calculator!K$11)*10000)+Volatilities_Resets!$Y34)),IF(I45&gt;=K$10,IF(I45&lt;L$10,(((Volatilities_Resets!$Y34-Volatilities_Resets!$W34)/50)*((Calculator!I45-Calculator!K$10)*10000)+Volatilities_Resets!$W34)),IF(I45&gt;=K$9,IF(I45&lt;L$9,(((Volatilities_Resets!$W34-Volatilities_Resets!$U34)/50)*((Calculator!I45-Calculator!K$9)*10000)+Volatilities_Resets!$U34)),IF(I45&gt;=K$8,IF(I45&lt;L$8,(((Volatilities_Resets!$U34-Volatilities_Resets!$S34)/50)*((Calculator!I45-Calculator!K$8)*10000)+Volatilities_Resets!$S34)),IF(I45&gt;=K$7,IF(I45&lt;L$7,(((Volatilities_Resets!$S34-Volatilities_Resets!$Q34)/50)*((Calculator!I45-Calculator!K$7)*10000)+Volatilities_Resets!$Q34)),IF(I45&gt;=K$6,IF(I45&lt;L$6,(((Volatilities_Resets!$Q34-Volatilities_Resets!$O34)/50)*((Calculator!I45-Calculator!K$6)*10000)+Volatilities_Resets!$O34)),IF(I45&gt;=K$5,IF(I45&lt;L$5,(((Volatilities_Resets!$O34-Volatilities_Resets!$M34)/50)*((Calculator!I45-Calculator!K$5)*10000)+Volatilities_Resets!$M34)),IF(I45&gt;=K$4,IF(I45&lt;L$4,(((Volatilities_Resets!$M34-Volatilities_Resets!$K34)/50)*((Calculator!I45-Calculator!K$4)*10000)+Volatilities_Resets!$K34)),IF(I45&gt;=K$3,IF(I45&lt;L$3,(((Volatilities_Resets!$K34-Volatilities_Resets!$I34)/50)*((Calculator!I45-Calculator!K$3)*10000)+Volatilities_Resets!$I34)),IF(I45&gt;=K$2,IF(I45&lt;L$2,(((Volatilities_Resets!$I34-Volatilities_Resets!$G34)/50)*((Calculator!I45-Calculator!K$2)*10000)+Volatilities_Resets!$G34)),"Well, something broke...")))))))))))/10000</f>
        <v>1.7156000000000001E-2</v>
      </c>
      <c r="L45" s="47">
        <f t="shared" ca="1" si="17"/>
        <v>30174.523776744692</v>
      </c>
      <c r="M45" s="63">
        <f t="shared" ca="1" si="18"/>
        <v>1.2116509136690413E-3</v>
      </c>
      <c r="N45" s="63">
        <f t="shared" ca="1" si="44"/>
        <v>1276906.4983360893</v>
      </c>
      <c r="Q45" s="63">
        <f t="shared" ca="1" si="19"/>
        <v>106.17506266678744</v>
      </c>
      <c r="R45" s="63">
        <f ca="1">SUM($Q$15:Q45)</f>
        <v>2065.3652353782295</v>
      </c>
      <c r="T45" s="52">
        <f ca="1">EXP(-AVERAGE(J$15:J45)*G45)</f>
        <v>0.90942966167442685</v>
      </c>
      <c r="U45" s="57"/>
      <c r="V45" s="52">
        <f t="shared" ca="1" si="20"/>
        <v>31</v>
      </c>
      <c r="W45" s="71">
        <f t="shared" ca="1" si="21"/>
        <v>45923</v>
      </c>
      <c r="X45" s="71">
        <f t="shared" ca="1" si="3"/>
        <v>45953</v>
      </c>
      <c r="Y45" s="72">
        <f t="shared" ca="1" si="4"/>
        <v>30</v>
      </c>
      <c r="Z45" s="73">
        <f ca="1">SUM(Y$15:Y45)/360</f>
        <v>2.625</v>
      </c>
      <c r="AA45" s="74">
        <f t="shared" si="22"/>
        <v>25000000</v>
      </c>
      <c r="AB45" s="59">
        <f t="shared" si="23"/>
        <v>0.03</v>
      </c>
      <c r="AC45" s="57">
        <f>Volatilities_Resets!$E34*0.01</f>
        <v>2.8617200000000002E-2</v>
      </c>
      <c r="AD45" s="61">
        <f>IF(AB45=AE$11,Volatilities_Resets!$AA34,IF(AB45&gt;=AD$11,IF(AB45&lt;AE$11,(((Volatilities_Resets!$AA34-Volatilities_Resets!$Y34)/50)*((Calculator!AB45-Calculator!AD$11)*10000)+Volatilities_Resets!$Y34)),IF(AB45&gt;=AD$10,IF(AB45&lt;AE$10,(((Volatilities_Resets!$Y34-Volatilities_Resets!$W34)/50)*((Calculator!AB45-Calculator!AD$10)*10000)+Volatilities_Resets!$W34)),IF(AB45&gt;=AD$9,IF(AB45&lt;AE$9,(((Volatilities_Resets!$W34-Volatilities_Resets!$U34)/50)*((Calculator!AB45-Calculator!AD$9)*10000)+Volatilities_Resets!$U34)),IF(AB45&gt;=AD$8,IF(AB45&lt;AE$8,(((Volatilities_Resets!$U34-Volatilities_Resets!$S34)/50)*((Calculator!AB45-Calculator!AD$8)*10000)+Volatilities_Resets!$S34)),IF(AB45&gt;=AD$7,IF(AB45&lt;AE$7,(((Volatilities_Resets!$S34-Volatilities_Resets!$Q34)/50)*((Calculator!AB45-Calculator!AD$7)*10000)+Volatilities_Resets!$Q34)),IF(AB45&gt;=AD$6,IF(AB45&lt;AE$6,(((Volatilities_Resets!$Q34-Volatilities_Resets!$O34)/50)*((Calculator!AB45-Calculator!AD$6)*10000)+Volatilities_Resets!$O34)),IF(AB45&gt;=AD$5,IF(AB45&lt;AE$5,(((Volatilities_Resets!$O34-Volatilities_Resets!$M34)/50)*((Calculator!AB45-Calculator!AD$5)*10000)+Volatilities_Resets!$M34)),IF(AB45&gt;=AD$4,IF(AB45&lt;AE$4,(((Volatilities_Resets!$M34-Volatilities_Resets!$K34)/50)*((Calculator!AB45-Calculator!AD$4)*10000)+Volatilities_Resets!$K34)),IF(AB45&gt;=AD$3,IF(AB45&lt;AE$3,(((Volatilities_Resets!$K34-Volatilities_Resets!$I34)/50)*((Calculator!AB45-Calculator!AD$3)*10000)+Volatilities_Resets!$I34)),IF(AB45&gt;=AD$2,IF(AB45&lt;AE$2,(((Volatilities_Resets!$I34-Volatilities_Resets!$G34)/50)*((Calculator!AB45-Calculator!AD$2)*10000)+Volatilities_Resets!$G34)),"Well, something broke...")))))))))))/10000</f>
        <v>1.7624999999999998E-2</v>
      </c>
      <c r="AE45" s="63">
        <f t="shared" ca="1" si="24"/>
        <v>20299.333553550699</v>
      </c>
      <c r="AF45" s="63">
        <f t="shared" ca="1" si="25"/>
        <v>8.1686612863383153E-4</v>
      </c>
      <c r="AG45" s="63">
        <f t="shared" ca="1" si="45"/>
        <v>844912.07961202983</v>
      </c>
      <c r="AJ45" s="63">
        <f t="shared" ca="1" si="26"/>
        <v>111.2411290971536</v>
      </c>
      <c r="AK45" s="63">
        <f ca="1">SUM($AJ$15:AJ45)</f>
        <v>2357.568879331066</v>
      </c>
      <c r="AM45" s="52">
        <f ca="1">EXP(-AVERAGE(AC$15:AC45)*Z45)</f>
        <v>0.90942966167442685</v>
      </c>
      <c r="AO45" s="52">
        <f t="shared" ca="1" si="27"/>
        <v>31</v>
      </c>
      <c r="AP45" s="71">
        <f t="shared" ca="1" si="28"/>
        <v>45923</v>
      </c>
      <c r="AQ45" s="71">
        <f t="shared" ca="1" si="5"/>
        <v>45953</v>
      </c>
      <c r="AR45" s="72">
        <f t="shared" ca="1" si="6"/>
        <v>30</v>
      </c>
      <c r="AS45" s="73">
        <f ca="1">SUM(AR$15:AR45)/360</f>
        <v>2.625</v>
      </c>
      <c r="AT45" s="74">
        <f t="shared" si="7"/>
        <v>25000000</v>
      </c>
      <c r="AU45" s="59">
        <f t="shared" si="29"/>
        <v>0.04</v>
      </c>
      <c r="AV45" s="57">
        <f>Volatilities_Resets!$E34*0.01</f>
        <v>2.8617200000000002E-2</v>
      </c>
      <c r="AW45" s="61">
        <f>IF(AU45=AX$11,Volatilities_Resets!$AA34,IF(AU45&gt;=AW$11,IF(AU45&lt;AX$11,(((Volatilities_Resets!$AA34-Volatilities_Resets!$Y34)/50)*((Calculator!AU45-Calculator!AW$11)*10000)+Volatilities_Resets!$Y34)),IF(AU45&gt;=AW$10,IF(AU45&lt;AX$10,(((Volatilities_Resets!$Y34-Volatilities_Resets!$W34)/50)*((Calculator!AU45-Calculator!AW$10)*10000)+Volatilities_Resets!$W34)),IF(AU45&gt;=AW$9,IF(AU45&lt;AX$9,(((Volatilities_Resets!$W34-Volatilities_Resets!$U34)/50)*((Calculator!AU45-Calculator!AW$9)*10000)+Volatilities_Resets!$U34)),IF(AU45&gt;=AW$8,IF(AU45&lt;AX$8,(((Volatilities_Resets!$U34-Volatilities_Resets!$S34)/50)*((Calculator!AU45-Calculator!AW$8)*10000)+Volatilities_Resets!$S34)),IF(AU45&gt;=AW$7,IF(AU45&lt;AX$7,(((Volatilities_Resets!$S34-Volatilities_Resets!$Q34)/50)*((Calculator!AU45-Calculator!AW$7)*10000)+Volatilities_Resets!$Q34)),IF(AU45&gt;=AW$6,IF(AU45&lt;AX$6,(((Volatilities_Resets!$Q34-Volatilities_Resets!$O34)/50)*((Calculator!AU45-Calculator!AW$6)*10000)+Volatilities_Resets!$O34)),IF(AU45&gt;=AW$5,IF(AU45&lt;AX$5,(((Volatilities_Resets!$O34-Volatilities_Resets!$M34)/50)*((Calculator!AU45-Calculator!AW$5)*10000)+Volatilities_Resets!$M34)),IF(AU45&gt;=AW$4,IF(AU45&lt;AX$4,(((Volatilities_Resets!$M34-Volatilities_Resets!$K34)/50)*((Calculator!AU45-Calculator!AW$4)*10000)+Volatilities_Resets!$K34)),IF(AU45&gt;=AW$3,IF(AU45&lt;AX$3,(((Volatilities_Resets!$K34-Volatilities_Resets!$I34)/50)*((Calculator!AU45-Calculator!AW$3)*10000)+Volatilities_Resets!$I34)),IF(AU45&gt;=AW$2,IF(AU45&lt;AX$2,(((Volatilities_Resets!$I34-Volatilities_Resets!$G34)/50)*((Calculator!AU45-Calculator!AW$2)*10000)+Volatilities_Resets!$G34)),"Well, something broke...")))))))))))/10000</f>
        <v>1.8565000000000002E-2</v>
      </c>
      <c r="AX45" s="63">
        <f t="shared" ca="1" si="30"/>
        <v>13560.768991553385</v>
      </c>
      <c r="AY45" s="63">
        <f t="shared" ca="1" si="31"/>
        <v>5.4699250618598315E-4</v>
      </c>
      <c r="AZ45" s="63">
        <f t="shared" ca="1" si="46"/>
        <v>486927.45983362617</v>
      </c>
      <c r="BC45" s="63">
        <f t="shared" ca="1" si="8"/>
        <v>103.71468994568426</v>
      </c>
      <c r="BD45" s="63">
        <f ca="1">SUM($BC$15:BC45)</f>
        <v>2389.083566566509</v>
      </c>
      <c r="BF45" s="52">
        <f ca="1">EXP(-AVERAGE(AV$15:AV45)*AS45)</f>
        <v>0.90942966167442685</v>
      </c>
      <c r="BH45" s="52">
        <f t="shared" ca="1" si="32"/>
        <v>31</v>
      </c>
      <c r="BI45" s="71">
        <f t="shared" ca="1" si="33"/>
        <v>45923</v>
      </c>
      <c r="BJ45" s="71">
        <f t="shared" ca="1" si="9"/>
        <v>45953</v>
      </c>
      <c r="BK45" s="72">
        <f t="shared" ca="1" si="10"/>
        <v>30</v>
      </c>
      <c r="BL45" s="73">
        <f ca="1">SUM(BK$15:BK45)/360</f>
        <v>2.625</v>
      </c>
      <c r="BM45" s="74">
        <f t="shared" si="11"/>
        <v>25000000</v>
      </c>
      <c r="BN45" s="59">
        <f t="shared" si="34"/>
        <v>0.05</v>
      </c>
      <c r="BO45" s="57">
        <f>Volatilities_Resets!$E34*0.01</f>
        <v>2.8617200000000002E-2</v>
      </c>
      <c r="BP45" s="61">
        <f>IF(BN45=BQ$11,Volatilities_Resets!$AA34,IF(BN45&gt;=BP$11,IF(BN45&lt;BQ$11,(((Volatilities_Resets!$AA34-Volatilities_Resets!$Y34)/50)*((Calculator!BN45-Calculator!BP$11)*10000)+Volatilities_Resets!$Y34)),IF(BN45&gt;=BP$10,IF(BN45&lt;BQ$10,(((Volatilities_Resets!$Y34-Volatilities_Resets!$W34)/50)*((Calculator!BN45-Calculator!BP$10)*10000)+Volatilities_Resets!$W34)),IF(BN45&gt;=BP$9,IF(BN45&lt;BQ$9,(((Volatilities_Resets!$W34-Volatilities_Resets!$U34)/50)*((Calculator!BN45-Calculator!BP$9)*10000)+Volatilities_Resets!$U34)),IF(BN45&gt;=BP$8,IF(BN45&lt;BQ$8,(((Volatilities_Resets!$U34-Volatilities_Resets!$S34)/50)*((Calculator!BN45-Calculator!BP$8)*10000)+Volatilities_Resets!$S34)),IF(BN45&gt;=BP$7,IF(BN45&lt;BQ$7,(((Volatilities_Resets!$S34-Volatilities_Resets!$Q34)/50)*((Calculator!BN45-Calculator!BP$7)*10000)+Volatilities_Resets!$Q34)),IF(BN45&gt;=BP$6,IF(BN45&lt;BQ$6,(((Volatilities_Resets!$Q34-Volatilities_Resets!$O34)/50)*((Calculator!BN45-Calculator!BP$6)*10000)+Volatilities_Resets!$O34)),IF(BN45&gt;=BP$5,IF(BN45&lt;BQ$5,(((Volatilities_Resets!$O34-Volatilities_Resets!$M34)/50)*((Calculator!BN45-Calculator!BP$5)*10000)+Volatilities_Resets!$M34)),IF(BN45&gt;=BP$4,IF(BN45&lt;BQ$4,(((Volatilities_Resets!$M34-Volatilities_Resets!$K34)/50)*((Calculator!BN45-Calculator!BP$4)*10000)+Volatilities_Resets!$K34)),IF(BN45&gt;=BP$3,IF(BN45&lt;BQ$3,(((Volatilities_Resets!$K34-Volatilities_Resets!$I34)/50)*((Calculator!BN45-Calculator!BP$3)*10000)+Volatilities_Resets!$I34)),IF(BN45&gt;=BP$2,IF(BN45&lt;BQ$2,(((Volatilities_Resets!$I34-Volatilities_Resets!$G34)/50)*((Calculator!BN45-Calculator!BP$2)*10000)+Volatilities_Resets!$G34)),"Well, something broke...")))))))))))/10000</f>
        <v>1.8828000000000001E-2</v>
      </c>
      <c r="BQ45" s="63">
        <f t="shared" ca="1" si="35"/>
        <v>8244.3632428808905</v>
      </c>
      <c r="BR45" s="63">
        <f t="shared" ca="1" si="36"/>
        <v>3.3361099242307712E-4</v>
      </c>
      <c r="BS45" s="63">
        <f t="shared" ca="1" si="47"/>
        <v>225633.1036594043</v>
      </c>
      <c r="BV45" s="63">
        <f t="shared" ca="1" si="37"/>
        <v>87.224824560471404</v>
      </c>
      <c r="BW45" s="63">
        <f ca="1">SUM($BV$15:BV45)</f>
        <v>2075.9994553201977</v>
      </c>
      <c r="BY45" s="52">
        <f ca="1">EXP(-AVERAGE(BO$15:BO45)*BL45)</f>
        <v>0.90942966167442685</v>
      </c>
      <c r="CA45" s="52">
        <f t="shared" ca="1" si="38"/>
        <v>31</v>
      </c>
      <c r="CB45" s="71">
        <f t="shared" ca="1" si="39"/>
        <v>45923</v>
      </c>
      <c r="CC45" s="71">
        <f t="shared" ca="1" si="12"/>
        <v>45953</v>
      </c>
      <c r="CD45" s="72">
        <f t="shared" ca="1" si="13"/>
        <v>30</v>
      </c>
      <c r="CE45" s="73">
        <f ca="1">SUM(CD$15:CD45)/360</f>
        <v>2.625</v>
      </c>
      <c r="CF45" s="74">
        <f t="shared" si="14"/>
        <v>25000000</v>
      </c>
      <c r="CG45" s="59">
        <f t="shared" si="40"/>
        <v>0.06</v>
      </c>
      <c r="CH45" s="57">
        <f>Volatilities_Resets!$E34*0.01</f>
        <v>2.8617200000000002E-2</v>
      </c>
      <c r="CI45" s="61">
        <f>IF(CG45=CJ$11,Volatilities_Resets!$AA34,IF(CG45&gt;=CI$11,IF(CG45&lt;CJ$11,(((Volatilities_Resets!$AA34-Volatilities_Resets!$Y34)/50)*((Calculator!CG45-Calculator!CI$11)*10000)+Volatilities_Resets!$Y34)),IF(CG45&gt;=CI$10,IF(CG45&lt;CJ$10,(((Volatilities_Resets!$Y34-Volatilities_Resets!$W34)/50)*((Calculator!CG45-Calculator!CI$10)*10000)+Volatilities_Resets!$W34)),IF(CG45&gt;=CI$9,IF(CG45&lt;CJ$9,(((Volatilities_Resets!$W34-Volatilities_Resets!$U34)/50)*((Calculator!CG45-Calculator!CI$9)*10000)+Volatilities_Resets!$U34)),IF(CG45&gt;=CI$8,IF(CG45&lt;CJ$8,(((Volatilities_Resets!$U34-Volatilities_Resets!$S34)/50)*((Calculator!CG45-Calculator!CI$8)*10000)+Volatilities_Resets!$S34)),IF(CG45&gt;=CI$7,IF(CG45&lt;CJ$7,(((Volatilities_Resets!$S34-Volatilities_Resets!$Q34)/50)*((Calculator!CG45-Calculator!CI$7)*10000)+Volatilities_Resets!$Q34)),IF(CG45&gt;=CI$6,IF(CG45&lt;CJ$6,(((Volatilities_Resets!$Q34-Volatilities_Resets!$O34)/50)*((Calculator!CG45-Calculator!CI$6)*10000)+Volatilities_Resets!$O34)),IF(CG45&gt;=CI$5,IF(CG45&lt;CJ$5,(((Volatilities_Resets!$O34-Volatilities_Resets!$M34)/50)*((Calculator!CG45-Calculator!CI$5)*10000)+Volatilities_Resets!$M34)),IF(CG45&gt;=CI$4,IF(CG45&lt;CJ$4,(((Volatilities_Resets!$M34-Volatilities_Resets!$K34)/50)*((Calculator!CG45-Calculator!CI$4)*10000)+Volatilities_Resets!$K34)),IF(CG45&gt;=CI$3,IF(CG45&lt;CJ$3,(((Volatilities_Resets!$K34-Volatilities_Resets!$I34)/50)*((Calculator!CG45-Calculator!CI$3)*10000)+Volatilities_Resets!$I34)),IF(CG45&gt;=CI$2,IF(CG45&lt;CJ$2,(((Volatilities_Resets!$I34-Volatilities_Resets!$G34)/50)*((Calculator!CG45-Calculator!CI$2)*10000)+Volatilities_Resets!$G34)),"Well, something broke...")))))))))))/10000</f>
        <v>1.9671000000000001E-2</v>
      </c>
      <c r="CJ45" s="63">
        <f t="shared" ca="1" si="41"/>
        <v>5179.2575078602531</v>
      </c>
      <c r="CK45" s="63">
        <f t="shared" ca="1" si="42"/>
        <v>2.1019427281915168E-4</v>
      </c>
      <c r="CL45" s="63">
        <f t="shared" ca="1" si="48"/>
        <v>100574.79640964372</v>
      </c>
      <c r="CO45" s="63">
        <f t="shared" ca="1" si="43"/>
        <v>68.752257297497152</v>
      </c>
      <c r="CP45" s="63">
        <f ca="1">SUM($CO$15:CO45)</f>
        <v>1437.8291954235442</v>
      </c>
      <c r="CR45" s="52">
        <f ca="1">EXP(-AVERAGE(CH$15:CH45)*CE45)</f>
        <v>0.90942966167442685</v>
      </c>
      <c r="CT45"/>
      <c r="CU45"/>
      <c r="CV45"/>
      <c r="CW45"/>
      <c r="CX45"/>
      <c r="CY45"/>
      <c r="CZ45"/>
      <c r="DA45"/>
      <c r="DB45"/>
      <c r="DC45"/>
      <c r="DD45"/>
      <c r="DE45"/>
      <c r="DF45"/>
      <c r="DG45"/>
      <c r="DH45"/>
      <c r="DI45"/>
      <c r="DJ45"/>
      <c r="DK45"/>
      <c r="DL45"/>
    </row>
    <row r="46" spans="2:116" ht="15.75" customHeight="1">
      <c r="B46" s="52">
        <v>3</v>
      </c>
      <c r="C46" s="52">
        <f t="shared" ca="1" si="15"/>
        <v>32</v>
      </c>
      <c r="D46" s="71">
        <f t="shared" ca="1" si="16"/>
        <v>45953</v>
      </c>
      <c r="E46" s="71">
        <f t="shared" ca="1" si="0"/>
        <v>45984</v>
      </c>
      <c r="F46" s="72">
        <f t="shared" ca="1" si="1"/>
        <v>31</v>
      </c>
      <c r="G46" s="73">
        <f ca="1">SUM($F$15:F46)/360</f>
        <v>2.7111111111111112</v>
      </c>
      <c r="H46" s="74">
        <f t="shared" si="2"/>
        <v>25000000</v>
      </c>
      <c r="I46" s="59">
        <f>IF('Cap Pricer'!$E$22=DataValidation!$C$2,'Cap Pricer'!$E$23,IF('Cap Pricer'!$E$22=DataValidation!$C$3,VLOOKUP($B46,'Cap Pricer'!$C$25:$E$31,3),""))</f>
        <v>0.02</v>
      </c>
      <c r="J46" s="57">
        <f>Volatilities_Resets!$E35*0.01</f>
        <v>2.8617200000000002E-2</v>
      </c>
      <c r="K46" s="61">
        <f>IF(I46=L$11,Volatilities_Resets!$AA35,IF(I46&gt;=K$11,IF(I46&lt;L$11,(((Volatilities_Resets!$AA35-Volatilities_Resets!$Y35)/50)*((Calculator!I46-Calculator!K$11)*10000)+Volatilities_Resets!$Y35)),IF(I46&gt;=K$10,IF(I46&lt;L$10,(((Volatilities_Resets!$Y35-Volatilities_Resets!$W35)/50)*((Calculator!I46-Calculator!K$10)*10000)+Volatilities_Resets!$W35)),IF(I46&gt;=K$9,IF(I46&lt;L$9,(((Volatilities_Resets!$W35-Volatilities_Resets!$U35)/50)*((Calculator!I46-Calculator!K$9)*10000)+Volatilities_Resets!$U35)),IF(I46&gt;=K$8,IF(I46&lt;L$8,(((Volatilities_Resets!$U35-Volatilities_Resets!$S35)/50)*((Calculator!I46-Calculator!K$8)*10000)+Volatilities_Resets!$S35)),IF(I46&gt;=K$7,IF(I46&lt;L$7,(((Volatilities_Resets!$S35-Volatilities_Resets!$Q35)/50)*((Calculator!I46-Calculator!K$7)*10000)+Volatilities_Resets!$Q35)),IF(I46&gt;=K$6,IF(I46&lt;L$6,(((Volatilities_Resets!$Q35-Volatilities_Resets!$O35)/50)*((Calculator!I46-Calculator!K$6)*10000)+Volatilities_Resets!$O35)),IF(I46&gt;=K$5,IF(I46&lt;L$5,(((Volatilities_Resets!$O35-Volatilities_Resets!$M35)/50)*((Calculator!I46-Calculator!K$5)*10000)+Volatilities_Resets!$M35)),IF(I46&gt;=K$4,IF(I46&lt;L$4,(((Volatilities_Resets!$M35-Volatilities_Resets!$K35)/50)*((Calculator!I46-Calculator!K$4)*10000)+Volatilities_Resets!$K35)),IF(I46&gt;=K$3,IF(I46&lt;L$3,(((Volatilities_Resets!$K35-Volatilities_Resets!$I35)/50)*((Calculator!I46-Calculator!K$3)*10000)+Volatilities_Resets!$I35)),IF(I46&gt;=K$2,IF(I46&lt;L$2,(((Volatilities_Resets!$I35-Volatilities_Resets!$G35)/50)*((Calculator!I46-Calculator!K$2)*10000)+Volatilities_Resets!$G35)),"Well, something broke...")))))))))))/10000</f>
        <v>1.7156000000000001E-2</v>
      </c>
      <c r="L46" s="47">
        <f t="shared" ca="1" si="17"/>
        <v>31439.343133341023</v>
      </c>
      <c r="M46" s="63">
        <f t="shared" ca="1" si="18"/>
        <v>1.2624731729639323E-3</v>
      </c>
      <c r="N46" s="63">
        <f t="shared" ca="1" si="44"/>
        <v>1308345.8414694304</v>
      </c>
      <c r="Q46" s="63">
        <f t="shared" ca="1" si="19"/>
        <v>111.11724770035597</v>
      </c>
      <c r="R46" s="63">
        <f ca="1">SUM($Q$15:Q46)</f>
        <v>2176.4824830785856</v>
      </c>
      <c r="T46" s="52">
        <f ca="1">EXP(-AVERAGE(J$15:J46)*G46)</f>
        <v>0.90718183832284283</v>
      </c>
      <c r="U46" s="57"/>
      <c r="V46" s="52">
        <f t="shared" ca="1" si="20"/>
        <v>32</v>
      </c>
      <c r="W46" s="71">
        <f t="shared" ca="1" si="21"/>
        <v>45953</v>
      </c>
      <c r="X46" s="71">
        <f t="shared" ca="1" si="3"/>
        <v>45984</v>
      </c>
      <c r="Y46" s="72">
        <f t="shared" ca="1" si="4"/>
        <v>31</v>
      </c>
      <c r="Z46" s="73">
        <f ca="1">SUM(Y$15:Y46)/360</f>
        <v>2.7111111111111112</v>
      </c>
      <c r="AA46" s="74">
        <f t="shared" si="22"/>
        <v>25000000</v>
      </c>
      <c r="AB46" s="59">
        <f t="shared" si="23"/>
        <v>0.03</v>
      </c>
      <c r="AC46" s="57">
        <f>Volatilities_Resets!$E35*0.01</f>
        <v>2.8617200000000002E-2</v>
      </c>
      <c r="AD46" s="61">
        <f>IF(AB46=AE$11,Volatilities_Resets!$AA35,IF(AB46&gt;=AD$11,IF(AB46&lt;AE$11,(((Volatilities_Resets!$AA35-Volatilities_Resets!$Y35)/50)*((Calculator!AB46-Calculator!AD$11)*10000)+Volatilities_Resets!$Y35)),IF(AB46&gt;=AD$10,IF(AB46&lt;AE$10,(((Volatilities_Resets!$Y35-Volatilities_Resets!$W35)/50)*((Calculator!AB46-Calculator!AD$10)*10000)+Volatilities_Resets!$W35)),IF(AB46&gt;=AD$9,IF(AB46&lt;AE$9,(((Volatilities_Resets!$W35-Volatilities_Resets!$U35)/50)*((Calculator!AB46-Calculator!AD$9)*10000)+Volatilities_Resets!$U35)),IF(AB46&gt;=AD$8,IF(AB46&lt;AE$8,(((Volatilities_Resets!$U35-Volatilities_Resets!$S35)/50)*((Calculator!AB46-Calculator!AD$8)*10000)+Volatilities_Resets!$S35)),IF(AB46&gt;=AD$7,IF(AB46&lt;AE$7,(((Volatilities_Resets!$S35-Volatilities_Resets!$Q35)/50)*((Calculator!AB46-Calculator!AD$7)*10000)+Volatilities_Resets!$Q35)),IF(AB46&gt;=AD$6,IF(AB46&lt;AE$6,(((Volatilities_Resets!$Q35-Volatilities_Resets!$O35)/50)*((Calculator!AB46-Calculator!AD$6)*10000)+Volatilities_Resets!$O35)),IF(AB46&gt;=AD$5,IF(AB46&lt;AE$5,(((Volatilities_Resets!$O35-Volatilities_Resets!$M35)/50)*((Calculator!AB46-Calculator!AD$5)*10000)+Volatilities_Resets!$M35)),IF(AB46&gt;=AD$4,IF(AB46&lt;AE$4,(((Volatilities_Resets!$M35-Volatilities_Resets!$K35)/50)*((Calculator!AB46-Calculator!AD$4)*10000)+Volatilities_Resets!$K35)),IF(AB46&gt;=AD$3,IF(AB46&lt;AE$3,(((Volatilities_Resets!$K35-Volatilities_Resets!$I35)/50)*((Calculator!AB46-Calculator!AD$3)*10000)+Volatilities_Resets!$I35)),IF(AB46&gt;=AD$2,IF(AB46&lt;AE$2,(((Volatilities_Resets!$I35-Volatilities_Resets!$G35)/50)*((Calculator!AB46-Calculator!AD$2)*10000)+Volatilities_Resets!$G35)),"Well, something broke...")))))))))))/10000</f>
        <v>1.7624999999999998E-2</v>
      </c>
      <c r="AE46" s="63">
        <f t="shared" ca="1" si="24"/>
        <v>21285.689687416849</v>
      </c>
      <c r="AF46" s="63">
        <f t="shared" ca="1" si="25"/>
        <v>8.5655321477889933E-4</v>
      </c>
      <c r="AG46" s="63">
        <f t="shared" ca="1" si="45"/>
        <v>866197.76929944672</v>
      </c>
      <c r="AJ46" s="63">
        <f t="shared" ca="1" si="26"/>
        <v>116.24689951117463</v>
      </c>
      <c r="AK46" s="63">
        <f ca="1">SUM($AJ$15:AJ46)</f>
        <v>2473.8157788422404</v>
      </c>
      <c r="AM46" s="52">
        <f ca="1">EXP(-AVERAGE(AC$15:AC46)*Z46)</f>
        <v>0.90718183832284283</v>
      </c>
      <c r="AO46" s="52">
        <f t="shared" ca="1" si="27"/>
        <v>32</v>
      </c>
      <c r="AP46" s="71">
        <f t="shared" ca="1" si="28"/>
        <v>45953</v>
      </c>
      <c r="AQ46" s="71">
        <f t="shared" ca="1" si="5"/>
        <v>45984</v>
      </c>
      <c r="AR46" s="72">
        <f t="shared" ca="1" si="6"/>
        <v>31</v>
      </c>
      <c r="AS46" s="73">
        <f ca="1">SUM(AR$15:AR46)/360</f>
        <v>2.7111111111111112</v>
      </c>
      <c r="AT46" s="74">
        <f t="shared" si="7"/>
        <v>25000000</v>
      </c>
      <c r="AU46" s="59">
        <f t="shared" si="29"/>
        <v>0.04</v>
      </c>
      <c r="AV46" s="57">
        <f>Volatilities_Resets!$E35*0.01</f>
        <v>2.8617200000000002E-2</v>
      </c>
      <c r="AW46" s="61">
        <f>IF(AU46=AX$11,Volatilities_Resets!$AA35,IF(AU46&gt;=AW$11,IF(AU46&lt;AX$11,(((Volatilities_Resets!$AA35-Volatilities_Resets!$Y35)/50)*((Calculator!AU46-Calculator!AW$11)*10000)+Volatilities_Resets!$Y35)),IF(AU46&gt;=AW$10,IF(AU46&lt;AX$10,(((Volatilities_Resets!$Y35-Volatilities_Resets!$W35)/50)*((Calculator!AU46-Calculator!AW$10)*10000)+Volatilities_Resets!$W35)),IF(AU46&gt;=AW$9,IF(AU46&lt;AX$9,(((Volatilities_Resets!$W35-Volatilities_Resets!$U35)/50)*((Calculator!AU46-Calculator!AW$9)*10000)+Volatilities_Resets!$U35)),IF(AU46&gt;=AW$8,IF(AU46&lt;AX$8,(((Volatilities_Resets!$U35-Volatilities_Resets!$S35)/50)*((Calculator!AU46-Calculator!AW$8)*10000)+Volatilities_Resets!$S35)),IF(AU46&gt;=AW$7,IF(AU46&lt;AX$7,(((Volatilities_Resets!$S35-Volatilities_Resets!$Q35)/50)*((Calculator!AU46-Calculator!AW$7)*10000)+Volatilities_Resets!$Q35)),IF(AU46&gt;=AW$6,IF(AU46&lt;AX$6,(((Volatilities_Resets!$Q35-Volatilities_Resets!$O35)/50)*((Calculator!AU46-Calculator!AW$6)*10000)+Volatilities_Resets!$O35)),IF(AU46&gt;=AW$5,IF(AU46&lt;AX$5,(((Volatilities_Resets!$O35-Volatilities_Resets!$M35)/50)*((Calculator!AU46-Calculator!AW$5)*10000)+Volatilities_Resets!$M35)),IF(AU46&gt;=AW$4,IF(AU46&lt;AX$4,(((Volatilities_Resets!$M35-Volatilities_Resets!$K35)/50)*((Calculator!AU46-Calculator!AW$4)*10000)+Volatilities_Resets!$K35)),IF(AU46&gt;=AW$3,IF(AU46&lt;AX$3,(((Volatilities_Resets!$K35-Volatilities_Resets!$I35)/50)*((Calculator!AU46-Calculator!AW$3)*10000)+Volatilities_Resets!$I35)),IF(AU46&gt;=AW$2,IF(AU46&lt;AX$2,(((Volatilities_Resets!$I35-Volatilities_Resets!$G35)/50)*((Calculator!AU46-Calculator!AW$2)*10000)+Volatilities_Resets!$G35)),"Well, something broke...")))))))))))/10000</f>
        <v>1.8565000000000002E-2</v>
      </c>
      <c r="AX46" s="63">
        <f t="shared" ca="1" si="30"/>
        <v>14333.499629868884</v>
      </c>
      <c r="AY46" s="63">
        <f t="shared" ca="1" si="31"/>
        <v>5.7812946425477919E-4</v>
      </c>
      <c r="AZ46" s="63">
        <f t="shared" ca="1" si="46"/>
        <v>501260.95946349506</v>
      </c>
      <c r="BC46" s="63">
        <f t="shared" ca="1" si="8"/>
        <v>108.62321045702878</v>
      </c>
      <c r="BD46" s="63">
        <f ca="1">SUM($BC$15:BC46)</f>
        <v>2497.7067770235376</v>
      </c>
      <c r="BF46" s="52">
        <f ca="1">EXP(-AVERAGE(AV$15:AV46)*AS46)</f>
        <v>0.90718183832284283</v>
      </c>
      <c r="BH46" s="52">
        <f t="shared" ca="1" si="32"/>
        <v>32</v>
      </c>
      <c r="BI46" s="71">
        <f t="shared" ca="1" si="33"/>
        <v>45953</v>
      </c>
      <c r="BJ46" s="71">
        <f t="shared" ca="1" si="9"/>
        <v>45984</v>
      </c>
      <c r="BK46" s="72">
        <f t="shared" ca="1" si="10"/>
        <v>31</v>
      </c>
      <c r="BL46" s="73">
        <f ca="1">SUM(BK$15:BK46)/360</f>
        <v>2.7111111111111112</v>
      </c>
      <c r="BM46" s="74">
        <f t="shared" si="11"/>
        <v>25000000</v>
      </c>
      <c r="BN46" s="59">
        <f t="shared" si="34"/>
        <v>0.05</v>
      </c>
      <c r="BO46" s="57">
        <f>Volatilities_Resets!$E35*0.01</f>
        <v>2.8617200000000002E-2</v>
      </c>
      <c r="BP46" s="61">
        <f>IF(BN46=BQ$11,Volatilities_Resets!$AA35,IF(BN46&gt;=BP$11,IF(BN46&lt;BQ$11,(((Volatilities_Resets!$AA35-Volatilities_Resets!$Y35)/50)*((Calculator!BN46-Calculator!BP$11)*10000)+Volatilities_Resets!$Y35)),IF(BN46&gt;=BP$10,IF(BN46&lt;BQ$10,(((Volatilities_Resets!$Y35-Volatilities_Resets!$W35)/50)*((Calculator!BN46-Calculator!BP$10)*10000)+Volatilities_Resets!$W35)),IF(BN46&gt;=BP$9,IF(BN46&lt;BQ$9,(((Volatilities_Resets!$W35-Volatilities_Resets!$U35)/50)*((Calculator!BN46-Calculator!BP$9)*10000)+Volatilities_Resets!$U35)),IF(BN46&gt;=BP$8,IF(BN46&lt;BQ$8,(((Volatilities_Resets!$U35-Volatilities_Resets!$S35)/50)*((Calculator!BN46-Calculator!BP$8)*10000)+Volatilities_Resets!$S35)),IF(BN46&gt;=BP$7,IF(BN46&lt;BQ$7,(((Volatilities_Resets!$S35-Volatilities_Resets!$Q35)/50)*((Calculator!BN46-Calculator!BP$7)*10000)+Volatilities_Resets!$Q35)),IF(BN46&gt;=BP$6,IF(BN46&lt;BQ$6,(((Volatilities_Resets!$Q35-Volatilities_Resets!$O35)/50)*((Calculator!BN46-Calculator!BP$6)*10000)+Volatilities_Resets!$O35)),IF(BN46&gt;=BP$5,IF(BN46&lt;BQ$5,(((Volatilities_Resets!$O35-Volatilities_Resets!$M35)/50)*((Calculator!BN46-Calculator!BP$5)*10000)+Volatilities_Resets!$M35)),IF(BN46&gt;=BP$4,IF(BN46&lt;BQ$4,(((Volatilities_Resets!$M35-Volatilities_Resets!$K35)/50)*((Calculator!BN46-Calculator!BP$4)*10000)+Volatilities_Resets!$K35)),IF(BN46&gt;=BP$3,IF(BN46&lt;BQ$3,(((Volatilities_Resets!$K35-Volatilities_Resets!$I35)/50)*((Calculator!BN46-Calculator!BP$3)*10000)+Volatilities_Resets!$I35)),IF(BN46&gt;=BP$2,IF(BN46&lt;BQ$2,(((Volatilities_Resets!$I35-Volatilities_Resets!$G35)/50)*((Calculator!BN46-Calculator!BP$2)*10000)+Volatilities_Resets!$G35)),"Well, something broke...")))))))))))/10000</f>
        <v>1.8827E-2</v>
      </c>
      <c r="BQ46" s="63">
        <f t="shared" ca="1" si="35"/>
        <v>8800.7533298136168</v>
      </c>
      <c r="BR46" s="63">
        <f t="shared" ca="1" si="36"/>
        <v>3.5608023321567306E-4</v>
      </c>
      <c r="BS46" s="63">
        <f t="shared" ca="1" si="47"/>
        <v>234433.85698921792</v>
      </c>
      <c r="BV46" s="63">
        <f t="shared" ca="1" si="37"/>
        <v>91.854429609324356</v>
      </c>
      <c r="BW46" s="63">
        <f ca="1">SUM($BV$15:BV46)</f>
        <v>2167.8538849295219</v>
      </c>
      <c r="BY46" s="52">
        <f ca="1">EXP(-AVERAGE(BO$15:BO46)*BL46)</f>
        <v>0.90718183832284283</v>
      </c>
      <c r="CA46" s="52">
        <f t="shared" ca="1" si="38"/>
        <v>32</v>
      </c>
      <c r="CB46" s="71">
        <f t="shared" ca="1" si="39"/>
        <v>45953</v>
      </c>
      <c r="CC46" s="71">
        <f t="shared" ca="1" si="12"/>
        <v>45984</v>
      </c>
      <c r="CD46" s="72">
        <f t="shared" ca="1" si="13"/>
        <v>31</v>
      </c>
      <c r="CE46" s="73">
        <f ca="1">SUM(CD$15:CD46)/360</f>
        <v>2.7111111111111112</v>
      </c>
      <c r="CF46" s="74">
        <f t="shared" si="14"/>
        <v>25000000</v>
      </c>
      <c r="CG46" s="59">
        <f t="shared" si="40"/>
        <v>0.06</v>
      </c>
      <c r="CH46" s="57">
        <f>Volatilities_Resets!$E35*0.01</f>
        <v>2.8617200000000002E-2</v>
      </c>
      <c r="CI46" s="61">
        <f>IF(CG46=CJ$11,Volatilities_Resets!$AA35,IF(CG46&gt;=CI$11,IF(CG46&lt;CJ$11,(((Volatilities_Resets!$AA35-Volatilities_Resets!$Y35)/50)*((Calculator!CG46-Calculator!CI$11)*10000)+Volatilities_Resets!$Y35)),IF(CG46&gt;=CI$10,IF(CG46&lt;CJ$10,(((Volatilities_Resets!$Y35-Volatilities_Resets!$W35)/50)*((Calculator!CG46-Calculator!CI$10)*10000)+Volatilities_Resets!$W35)),IF(CG46&gt;=CI$9,IF(CG46&lt;CJ$9,(((Volatilities_Resets!$W35-Volatilities_Resets!$U35)/50)*((Calculator!CG46-Calculator!CI$9)*10000)+Volatilities_Resets!$U35)),IF(CG46&gt;=CI$8,IF(CG46&lt;CJ$8,(((Volatilities_Resets!$U35-Volatilities_Resets!$S35)/50)*((Calculator!CG46-Calculator!CI$8)*10000)+Volatilities_Resets!$S35)),IF(CG46&gt;=CI$7,IF(CG46&lt;CJ$7,(((Volatilities_Resets!$S35-Volatilities_Resets!$Q35)/50)*((Calculator!CG46-Calculator!CI$7)*10000)+Volatilities_Resets!$Q35)),IF(CG46&gt;=CI$6,IF(CG46&lt;CJ$6,(((Volatilities_Resets!$Q35-Volatilities_Resets!$O35)/50)*((Calculator!CG46-Calculator!CI$6)*10000)+Volatilities_Resets!$O35)),IF(CG46&gt;=CI$5,IF(CG46&lt;CJ$5,(((Volatilities_Resets!$O35-Volatilities_Resets!$M35)/50)*((Calculator!CG46-Calculator!CI$5)*10000)+Volatilities_Resets!$M35)),IF(CG46&gt;=CI$4,IF(CG46&lt;CJ$4,(((Volatilities_Resets!$M35-Volatilities_Resets!$K35)/50)*((Calculator!CG46-Calculator!CI$4)*10000)+Volatilities_Resets!$K35)),IF(CG46&gt;=CI$3,IF(CG46&lt;CJ$3,(((Volatilities_Resets!$K35-Volatilities_Resets!$I35)/50)*((Calculator!CG46-Calculator!CI$3)*10000)+Volatilities_Resets!$I35)),IF(CG46&gt;=CI$2,IF(CG46&lt;CJ$2,(((Volatilities_Resets!$I35-Volatilities_Resets!$G35)/50)*((Calculator!CG46-Calculator!CI$2)*10000)+Volatilities_Resets!$G35)),"Well, something broke...")))))))))))/10000</f>
        <v>1.967E-2</v>
      </c>
      <c r="CJ46" s="63">
        <f t="shared" ca="1" si="41"/>
        <v>5588.5958456799917</v>
      </c>
      <c r="CK46" s="63">
        <f t="shared" ca="1" si="42"/>
        <v>2.2676034930396141E-4</v>
      </c>
      <c r="CL46" s="63">
        <f t="shared" ca="1" si="48"/>
        <v>106163.39225532371</v>
      </c>
      <c r="CO46" s="63">
        <f t="shared" ca="1" si="43"/>
        <v>72.949110580064541</v>
      </c>
      <c r="CP46" s="63">
        <f ca="1">SUM($CO$15:CO46)</f>
        <v>1510.7783060036088</v>
      </c>
      <c r="CR46" s="52">
        <f ca="1">EXP(-AVERAGE(CH$15:CH46)*CE46)</f>
        <v>0.90718183832284283</v>
      </c>
      <c r="CT46"/>
      <c r="CU46"/>
      <c r="CV46"/>
      <c r="CW46"/>
      <c r="CX46"/>
      <c r="CY46"/>
      <c r="CZ46"/>
      <c r="DA46"/>
      <c r="DB46"/>
      <c r="DC46"/>
      <c r="DD46"/>
      <c r="DE46"/>
      <c r="DF46"/>
      <c r="DG46"/>
      <c r="DH46"/>
      <c r="DI46"/>
      <c r="DJ46"/>
      <c r="DK46"/>
      <c r="DL46"/>
    </row>
    <row r="47" spans="2:116" ht="15.75" customHeight="1">
      <c r="B47" s="52">
        <v>3</v>
      </c>
      <c r="C47" s="52">
        <f t="shared" ca="1" si="15"/>
        <v>33</v>
      </c>
      <c r="D47" s="71">
        <f t="shared" ca="1" si="16"/>
        <v>45984</v>
      </c>
      <c r="E47" s="71">
        <f t="shared" ca="1" si="0"/>
        <v>46014</v>
      </c>
      <c r="F47" s="72">
        <f t="shared" ca="1" si="1"/>
        <v>30</v>
      </c>
      <c r="G47" s="73">
        <f ca="1">SUM($F$15:F47)/360</f>
        <v>2.7944444444444443</v>
      </c>
      <c r="H47" s="74">
        <f t="shared" si="2"/>
        <v>25000000</v>
      </c>
      <c r="I47" s="59">
        <f>IF('Cap Pricer'!$E$22=DataValidation!$C$2,'Cap Pricer'!$E$23,IF('Cap Pricer'!$E$22=DataValidation!$C$3,VLOOKUP($B47,'Cap Pricer'!$C$25:$E$31,3),""))</f>
        <v>0.02</v>
      </c>
      <c r="J47" s="57">
        <f>Volatilities_Resets!$E36*0.01</f>
        <v>2.8614899999999999E-2</v>
      </c>
      <c r="K47" s="61">
        <f>IF(I47=L$11,Volatilities_Resets!$AA36,IF(I47&gt;=K$11,IF(I47&lt;L$11,(((Volatilities_Resets!$AA36-Volatilities_Resets!$Y36)/50)*((Calculator!I47-Calculator!K$11)*10000)+Volatilities_Resets!$Y36)),IF(I47&gt;=K$10,IF(I47&lt;L$10,(((Volatilities_Resets!$Y36-Volatilities_Resets!$W36)/50)*((Calculator!I47-Calculator!K$10)*10000)+Volatilities_Resets!$W36)),IF(I47&gt;=K$9,IF(I47&lt;L$9,(((Volatilities_Resets!$W36-Volatilities_Resets!$U36)/50)*((Calculator!I47-Calculator!K$9)*10000)+Volatilities_Resets!$U36)),IF(I47&gt;=K$8,IF(I47&lt;L$8,(((Volatilities_Resets!$U36-Volatilities_Resets!$S36)/50)*((Calculator!I47-Calculator!K$8)*10000)+Volatilities_Resets!$S36)),IF(I47&gt;=K$7,IF(I47&lt;L$7,(((Volatilities_Resets!$S36-Volatilities_Resets!$Q36)/50)*((Calculator!I47-Calculator!K$7)*10000)+Volatilities_Resets!$Q36)),IF(I47&gt;=K$6,IF(I47&lt;L$6,(((Volatilities_Resets!$Q36-Volatilities_Resets!$O36)/50)*((Calculator!I47-Calculator!K$6)*10000)+Volatilities_Resets!$O36)),IF(I47&gt;=K$5,IF(I47&lt;L$5,(((Volatilities_Resets!$O36-Volatilities_Resets!$M36)/50)*((Calculator!I47-Calculator!K$5)*10000)+Volatilities_Resets!$M36)),IF(I47&gt;=K$4,IF(I47&lt;L$4,(((Volatilities_Resets!$M36-Volatilities_Resets!$K36)/50)*((Calculator!I47-Calculator!K$4)*10000)+Volatilities_Resets!$K36)),IF(I47&gt;=K$3,IF(I47&lt;L$3,(((Volatilities_Resets!$K36-Volatilities_Resets!$I36)/50)*((Calculator!I47-Calculator!K$3)*10000)+Volatilities_Resets!$I36)),IF(I47&gt;=K$2,IF(I47&lt;L$2,(((Volatilities_Resets!$I36-Volatilities_Resets!$G36)/50)*((Calculator!I47-Calculator!K$2)*10000)+Volatilities_Resets!$G36)),"Well, something broke...")))))))))))/10000</f>
        <v>1.7156000000000001E-2</v>
      </c>
      <c r="L47" s="47">
        <f t="shared" ca="1" si="17"/>
        <v>30659.895538684552</v>
      </c>
      <c r="M47" s="63">
        <f t="shared" ca="1" si="18"/>
        <v>1.2312048677154976E-3</v>
      </c>
      <c r="N47" s="63">
        <f t="shared" ca="1" si="44"/>
        <v>1339005.7370081148</v>
      </c>
      <c r="Q47" s="63">
        <f t="shared" ca="1" si="19"/>
        <v>108.80828711213738</v>
      </c>
      <c r="R47" s="63">
        <f ca="1">SUM($Q$15:Q47)</f>
        <v>2285.2907701907229</v>
      </c>
      <c r="T47" s="52">
        <f ca="1">EXP(-AVERAGE(J$15:J47)*G47)</f>
        <v>0.9050300896135991</v>
      </c>
      <c r="U47" s="57"/>
      <c r="V47" s="52">
        <f t="shared" ca="1" si="20"/>
        <v>33</v>
      </c>
      <c r="W47" s="71">
        <f t="shared" ca="1" si="21"/>
        <v>45984</v>
      </c>
      <c r="X47" s="71">
        <f t="shared" ca="1" si="3"/>
        <v>46014</v>
      </c>
      <c r="Y47" s="72">
        <f t="shared" ca="1" si="4"/>
        <v>30</v>
      </c>
      <c r="Z47" s="73">
        <f ca="1">SUM(Y$15:Y47)/360</f>
        <v>2.7944444444444443</v>
      </c>
      <c r="AA47" s="74">
        <f t="shared" si="22"/>
        <v>25000000</v>
      </c>
      <c r="AB47" s="59">
        <f t="shared" si="23"/>
        <v>0.03</v>
      </c>
      <c r="AC47" s="57">
        <f>Volatilities_Resets!$E36*0.01</f>
        <v>2.8614899999999999E-2</v>
      </c>
      <c r="AD47" s="61">
        <f>IF(AB47=AE$11,Volatilities_Resets!$AA36,IF(AB47&gt;=AD$11,IF(AB47&lt;AE$11,(((Volatilities_Resets!$AA36-Volatilities_Resets!$Y36)/50)*((Calculator!AB47-Calculator!AD$11)*10000)+Volatilities_Resets!$Y36)),IF(AB47&gt;=AD$10,IF(AB47&lt;AE$10,(((Volatilities_Resets!$Y36-Volatilities_Resets!$W36)/50)*((Calculator!AB47-Calculator!AD$10)*10000)+Volatilities_Resets!$W36)),IF(AB47&gt;=AD$9,IF(AB47&lt;AE$9,(((Volatilities_Resets!$W36-Volatilities_Resets!$U36)/50)*((Calculator!AB47-Calculator!AD$9)*10000)+Volatilities_Resets!$U36)),IF(AB47&gt;=AD$8,IF(AB47&lt;AE$8,(((Volatilities_Resets!$U36-Volatilities_Resets!$S36)/50)*((Calculator!AB47-Calculator!AD$8)*10000)+Volatilities_Resets!$S36)),IF(AB47&gt;=AD$7,IF(AB47&lt;AE$7,(((Volatilities_Resets!$S36-Volatilities_Resets!$Q36)/50)*((Calculator!AB47-Calculator!AD$7)*10000)+Volatilities_Resets!$Q36)),IF(AB47&gt;=AD$6,IF(AB47&lt;AE$6,(((Volatilities_Resets!$Q36-Volatilities_Resets!$O36)/50)*((Calculator!AB47-Calculator!AD$6)*10000)+Volatilities_Resets!$O36)),IF(AB47&gt;=AD$5,IF(AB47&lt;AE$5,(((Volatilities_Resets!$O36-Volatilities_Resets!$M36)/50)*((Calculator!AB47-Calculator!AD$5)*10000)+Volatilities_Resets!$M36)),IF(AB47&gt;=AD$4,IF(AB47&lt;AE$4,(((Volatilities_Resets!$M36-Volatilities_Resets!$K36)/50)*((Calculator!AB47-Calculator!AD$4)*10000)+Volatilities_Resets!$K36)),IF(AB47&gt;=AD$3,IF(AB47&lt;AE$3,(((Volatilities_Resets!$K36-Volatilities_Resets!$I36)/50)*((Calculator!AB47-Calculator!AD$3)*10000)+Volatilities_Resets!$I36)),IF(AB47&gt;=AD$2,IF(AB47&lt;AE$2,(((Volatilities_Resets!$I36-Volatilities_Resets!$G36)/50)*((Calculator!AB47-Calculator!AD$2)*10000)+Volatilities_Resets!$G36)),"Well, something broke...")))))))))))/10000</f>
        <v>1.7624999999999998E-2</v>
      </c>
      <c r="AE47" s="63">
        <f t="shared" ca="1" si="24"/>
        <v>20880.684533237367</v>
      </c>
      <c r="AF47" s="63">
        <f t="shared" ca="1" si="25"/>
        <v>8.4025152872982769E-4</v>
      </c>
      <c r="AG47" s="63">
        <f t="shared" ca="1" si="45"/>
        <v>887078.45383268408</v>
      </c>
      <c r="AJ47" s="63">
        <f t="shared" ca="1" si="26"/>
        <v>113.67511429888262</v>
      </c>
      <c r="AK47" s="63">
        <f ca="1">SUM($AJ$15:AJ47)</f>
        <v>2587.4908931411233</v>
      </c>
      <c r="AM47" s="52">
        <f ca="1">EXP(-AVERAGE(AC$15:AC47)*Z47)</f>
        <v>0.9050300896135991</v>
      </c>
      <c r="AO47" s="52">
        <f t="shared" ca="1" si="27"/>
        <v>33</v>
      </c>
      <c r="AP47" s="71">
        <f t="shared" ca="1" si="28"/>
        <v>45984</v>
      </c>
      <c r="AQ47" s="71">
        <f t="shared" ca="1" si="5"/>
        <v>46014</v>
      </c>
      <c r="AR47" s="72">
        <f t="shared" ca="1" si="6"/>
        <v>30</v>
      </c>
      <c r="AS47" s="73">
        <f ca="1">SUM(AR$15:AR47)/360</f>
        <v>2.7944444444444443</v>
      </c>
      <c r="AT47" s="74">
        <f t="shared" si="7"/>
        <v>25000000</v>
      </c>
      <c r="AU47" s="59">
        <f t="shared" si="29"/>
        <v>0.04</v>
      </c>
      <c r="AV47" s="57">
        <f>Volatilities_Resets!$E36*0.01</f>
        <v>2.8614899999999999E-2</v>
      </c>
      <c r="AW47" s="61">
        <f>IF(AU47=AX$11,Volatilities_Resets!$AA36,IF(AU47&gt;=AW$11,IF(AU47&lt;AX$11,(((Volatilities_Resets!$AA36-Volatilities_Resets!$Y36)/50)*((Calculator!AU47-Calculator!AW$11)*10000)+Volatilities_Resets!$Y36)),IF(AU47&gt;=AW$10,IF(AU47&lt;AX$10,(((Volatilities_Resets!$Y36-Volatilities_Resets!$W36)/50)*((Calculator!AU47-Calculator!AW$10)*10000)+Volatilities_Resets!$W36)),IF(AU47&gt;=AW$9,IF(AU47&lt;AX$9,(((Volatilities_Resets!$W36-Volatilities_Resets!$U36)/50)*((Calculator!AU47-Calculator!AW$9)*10000)+Volatilities_Resets!$U36)),IF(AU47&gt;=AW$8,IF(AU47&lt;AX$8,(((Volatilities_Resets!$U36-Volatilities_Resets!$S36)/50)*((Calculator!AU47-Calculator!AW$8)*10000)+Volatilities_Resets!$S36)),IF(AU47&gt;=AW$7,IF(AU47&lt;AX$7,(((Volatilities_Resets!$S36-Volatilities_Resets!$Q36)/50)*((Calculator!AU47-Calculator!AW$7)*10000)+Volatilities_Resets!$Q36)),IF(AU47&gt;=AW$6,IF(AU47&lt;AX$6,(((Volatilities_Resets!$Q36-Volatilities_Resets!$O36)/50)*((Calculator!AU47-Calculator!AW$6)*10000)+Volatilities_Resets!$O36)),IF(AU47&gt;=AW$5,IF(AU47&lt;AX$5,(((Volatilities_Resets!$O36-Volatilities_Resets!$M36)/50)*((Calculator!AU47-Calculator!AW$5)*10000)+Volatilities_Resets!$M36)),IF(AU47&gt;=AW$4,IF(AU47&lt;AX$4,(((Volatilities_Resets!$M36-Volatilities_Resets!$K36)/50)*((Calculator!AU47-Calculator!AW$4)*10000)+Volatilities_Resets!$K36)),IF(AU47&gt;=AW$3,IF(AU47&lt;AX$3,(((Volatilities_Resets!$K36-Volatilities_Resets!$I36)/50)*((Calculator!AU47-Calculator!AW$3)*10000)+Volatilities_Resets!$I36)),IF(AU47&gt;=AW$2,IF(AU47&lt;AX$2,(((Volatilities_Resets!$I36-Volatilities_Resets!$G36)/50)*((Calculator!AU47-Calculator!AW$2)*10000)+Volatilities_Resets!$G36)),"Well, something broke...")))))))))))/10000</f>
        <v>1.8565000000000002E-2</v>
      </c>
      <c r="AX47" s="63">
        <f t="shared" ca="1" si="30"/>
        <v>14164.235277826023</v>
      </c>
      <c r="AY47" s="63">
        <f t="shared" ca="1" si="31"/>
        <v>5.7127346144612368E-4</v>
      </c>
      <c r="AZ47" s="63">
        <f t="shared" ca="1" si="46"/>
        <v>515425.19474132109</v>
      </c>
      <c r="BC47" s="63">
        <f t="shared" ca="1" si="8"/>
        <v>106.43267736241945</v>
      </c>
      <c r="BD47" s="63">
        <f ca="1">SUM($BC$15:BC47)</f>
        <v>2604.1394543859569</v>
      </c>
      <c r="BF47" s="52">
        <f ca="1">EXP(-AVERAGE(AV$15:AV47)*AS47)</f>
        <v>0.9050300896135991</v>
      </c>
      <c r="BH47" s="52">
        <f t="shared" ca="1" si="32"/>
        <v>33</v>
      </c>
      <c r="BI47" s="71">
        <f t="shared" ca="1" si="33"/>
        <v>45984</v>
      </c>
      <c r="BJ47" s="71">
        <f t="shared" ca="1" si="9"/>
        <v>46014</v>
      </c>
      <c r="BK47" s="72">
        <f t="shared" ca="1" si="10"/>
        <v>30</v>
      </c>
      <c r="BL47" s="73">
        <f ca="1">SUM(BK$15:BK47)/360</f>
        <v>2.7944444444444443</v>
      </c>
      <c r="BM47" s="74">
        <f t="shared" si="11"/>
        <v>25000000</v>
      </c>
      <c r="BN47" s="59">
        <f t="shared" si="34"/>
        <v>0.05</v>
      </c>
      <c r="BO47" s="57">
        <f>Volatilities_Resets!$E36*0.01</f>
        <v>2.8614899999999999E-2</v>
      </c>
      <c r="BP47" s="61">
        <f>IF(BN47=BQ$11,Volatilities_Resets!$AA36,IF(BN47&gt;=BP$11,IF(BN47&lt;BQ$11,(((Volatilities_Resets!$AA36-Volatilities_Resets!$Y36)/50)*((Calculator!BN47-Calculator!BP$11)*10000)+Volatilities_Resets!$Y36)),IF(BN47&gt;=BP$10,IF(BN47&lt;BQ$10,(((Volatilities_Resets!$Y36-Volatilities_Resets!$W36)/50)*((Calculator!BN47-Calculator!BP$10)*10000)+Volatilities_Resets!$W36)),IF(BN47&gt;=BP$9,IF(BN47&lt;BQ$9,(((Volatilities_Resets!$W36-Volatilities_Resets!$U36)/50)*((Calculator!BN47-Calculator!BP$9)*10000)+Volatilities_Resets!$U36)),IF(BN47&gt;=BP$8,IF(BN47&lt;BQ$8,(((Volatilities_Resets!$U36-Volatilities_Resets!$S36)/50)*((Calculator!BN47-Calculator!BP$8)*10000)+Volatilities_Resets!$S36)),IF(BN47&gt;=BP$7,IF(BN47&lt;BQ$7,(((Volatilities_Resets!$S36-Volatilities_Resets!$Q36)/50)*((Calculator!BN47-Calculator!BP$7)*10000)+Volatilities_Resets!$Q36)),IF(BN47&gt;=BP$6,IF(BN47&lt;BQ$6,(((Volatilities_Resets!$Q36-Volatilities_Resets!$O36)/50)*((Calculator!BN47-Calculator!BP$6)*10000)+Volatilities_Resets!$O36)),IF(BN47&gt;=BP$5,IF(BN47&lt;BQ$5,(((Volatilities_Resets!$O36-Volatilities_Resets!$M36)/50)*((Calculator!BN47-Calculator!BP$5)*10000)+Volatilities_Resets!$M36)),IF(BN47&gt;=BP$4,IF(BN47&lt;BQ$4,(((Volatilities_Resets!$M36-Volatilities_Resets!$K36)/50)*((Calculator!BN47-Calculator!BP$4)*10000)+Volatilities_Resets!$K36)),IF(BN47&gt;=BP$3,IF(BN47&lt;BQ$3,(((Volatilities_Resets!$K36-Volatilities_Resets!$I36)/50)*((Calculator!BN47-Calculator!BP$3)*10000)+Volatilities_Resets!$I36)),IF(BN47&gt;=BP$2,IF(BN47&lt;BQ$2,(((Volatilities_Resets!$I36-Volatilities_Resets!$G36)/50)*((Calculator!BN47-Calculator!BP$2)*10000)+Volatilities_Resets!$G36)),"Well, something broke...")))))))))))/10000</f>
        <v>1.8828000000000001E-2</v>
      </c>
      <c r="BQ47" s="63">
        <f t="shared" ca="1" si="35"/>
        <v>8777.9389647900116</v>
      </c>
      <c r="BR47" s="63">
        <f t="shared" ca="1" si="36"/>
        <v>3.551153665752911E-4</v>
      </c>
      <c r="BS47" s="63">
        <f t="shared" ca="1" si="47"/>
        <v>243211.79595400795</v>
      </c>
      <c r="BV47" s="63">
        <f t="shared" ca="1" si="37"/>
        <v>90.453412943437485</v>
      </c>
      <c r="BW47" s="63">
        <f ca="1">SUM($BV$15:BV47)</f>
        <v>2258.3072978729592</v>
      </c>
      <c r="BY47" s="52">
        <f ca="1">EXP(-AVERAGE(BO$15:BO47)*BL47)</f>
        <v>0.9050300896135991</v>
      </c>
      <c r="CA47" s="52">
        <f t="shared" ca="1" si="38"/>
        <v>33</v>
      </c>
      <c r="CB47" s="71">
        <f t="shared" ca="1" si="39"/>
        <v>45984</v>
      </c>
      <c r="CC47" s="71">
        <f t="shared" ca="1" si="12"/>
        <v>46014</v>
      </c>
      <c r="CD47" s="72">
        <f t="shared" ca="1" si="13"/>
        <v>30</v>
      </c>
      <c r="CE47" s="73">
        <f ca="1">SUM(CD$15:CD47)/360</f>
        <v>2.7944444444444443</v>
      </c>
      <c r="CF47" s="74">
        <f t="shared" si="14"/>
        <v>25000000</v>
      </c>
      <c r="CG47" s="59">
        <f t="shared" si="40"/>
        <v>0.06</v>
      </c>
      <c r="CH47" s="57">
        <f>Volatilities_Resets!$E36*0.01</f>
        <v>2.8614899999999999E-2</v>
      </c>
      <c r="CI47" s="61">
        <f>IF(CG47=CJ$11,Volatilities_Resets!$AA36,IF(CG47&gt;=CI$11,IF(CG47&lt;CJ$11,(((Volatilities_Resets!$AA36-Volatilities_Resets!$Y36)/50)*((Calculator!CG47-Calculator!CI$11)*10000)+Volatilities_Resets!$Y36)),IF(CG47&gt;=CI$10,IF(CG47&lt;CJ$10,(((Volatilities_Resets!$Y36-Volatilities_Resets!$W36)/50)*((Calculator!CG47-Calculator!CI$10)*10000)+Volatilities_Resets!$W36)),IF(CG47&gt;=CI$9,IF(CG47&lt;CJ$9,(((Volatilities_Resets!$W36-Volatilities_Resets!$U36)/50)*((Calculator!CG47-Calculator!CI$9)*10000)+Volatilities_Resets!$U36)),IF(CG47&gt;=CI$8,IF(CG47&lt;CJ$8,(((Volatilities_Resets!$U36-Volatilities_Resets!$S36)/50)*((Calculator!CG47-Calculator!CI$8)*10000)+Volatilities_Resets!$S36)),IF(CG47&gt;=CI$7,IF(CG47&lt;CJ$7,(((Volatilities_Resets!$S36-Volatilities_Resets!$Q36)/50)*((Calculator!CG47-Calculator!CI$7)*10000)+Volatilities_Resets!$Q36)),IF(CG47&gt;=CI$6,IF(CG47&lt;CJ$6,(((Volatilities_Resets!$Q36-Volatilities_Resets!$O36)/50)*((Calculator!CG47-Calculator!CI$6)*10000)+Volatilities_Resets!$O36)),IF(CG47&gt;=CI$5,IF(CG47&lt;CJ$5,(((Volatilities_Resets!$O36-Volatilities_Resets!$M36)/50)*((Calculator!CG47-Calculator!CI$5)*10000)+Volatilities_Resets!$M36)),IF(CG47&gt;=CI$4,IF(CG47&lt;CJ$4,(((Volatilities_Resets!$M36-Volatilities_Resets!$K36)/50)*((Calculator!CG47-Calculator!CI$4)*10000)+Volatilities_Resets!$K36)),IF(CG47&gt;=CI$3,IF(CG47&lt;CJ$3,(((Volatilities_Resets!$K36-Volatilities_Resets!$I36)/50)*((Calculator!CG47-Calculator!CI$3)*10000)+Volatilities_Resets!$I36)),IF(CG47&gt;=CI$2,IF(CG47&lt;CJ$2,(((Volatilities_Resets!$I36-Volatilities_Resets!$G36)/50)*((Calculator!CG47-Calculator!CI$2)*10000)+Volatilities_Resets!$G36)),"Well, something broke...")))))))))))/10000</f>
        <v>1.9671000000000001E-2</v>
      </c>
      <c r="CJ47" s="63">
        <f t="shared" ca="1" si="41"/>
        <v>5629.5613687033447</v>
      </c>
      <c r="CK47" s="63">
        <f t="shared" ca="1" si="42"/>
        <v>2.2837934931768412E-4</v>
      </c>
      <c r="CL47" s="63">
        <f t="shared" ca="1" si="48"/>
        <v>111792.95362402705</v>
      </c>
      <c r="CO47" s="63">
        <f t="shared" ca="1" si="43"/>
        <v>72.332144469134334</v>
      </c>
      <c r="CP47" s="63">
        <f ca="1">SUM($CO$15:CO47)</f>
        <v>1583.1104504727432</v>
      </c>
      <c r="CR47" s="52">
        <f ca="1">EXP(-AVERAGE(CH$15:CH47)*CE47)</f>
        <v>0.9050300896135991</v>
      </c>
      <c r="CT47"/>
      <c r="CU47"/>
      <c r="CV47"/>
      <c r="CW47"/>
      <c r="CX47"/>
      <c r="CY47"/>
      <c r="CZ47"/>
      <c r="DA47"/>
      <c r="DB47"/>
      <c r="DC47"/>
      <c r="DD47"/>
      <c r="DE47"/>
      <c r="DF47"/>
      <c r="DG47"/>
      <c r="DH47"/>
      <c r="DI47"/>
      <c r="DJ47"/>
      <c r="DK47"/>
      <c r="DL47"/>
    </row>
    <row r="48" spans="2:116" ht="15.75" customHeight="1">
      <c r="B48" s="52">
        <v>3</v>
      </c>
      <c r="C48" s="52">
        <f t="shared" ca="1" si="15"/>
        <v>34</v>
      </c>
      <c r="D48" s="71">
        <f t="shared" ca="1" si="16"/>
        <v>46014</v>
      </c>
      <c r="E48" s="71">
        <f t="shared" ca="1" si="0"/>
        <v>46045</v>
      </c>
      <c r="F48" s="72">
        <f t="shared" ca="1" si="1"/>
        <v>31</v>
      </c>
      <c r="G48" s="73">
        <f ca="1">SUM($F$15:F48)/360</f>
        <v>2.8805555555555555</v>
      </c>
      <c r="H48" s="74">
        <f t="shared" si="2"/>
        <v>25000000</v>
      </c>
      <c r="I48" s="59">
        <f>IF('Cap Pricer'!$E$22=DataValidation!$C$2,'Cap Pricer'!$E$23,IF('Cap Pricer'!$E$22=DataValidation!$C$3,VLOOKUP($B48,'Cap Pricer'!$C$25:$E$31,3),""))</f>
        <v>0.02</v>
      </c>
      <c r="J48" s="57">
        <f>Volatilities_Resets!$E37*0.01</f>
        <v>2.8616000000000003E-2</v>
      </c>
      <c r="K48" s="61">
        <f>IF(I48=L$11,Volatilities_Resets!$AA37,IF(I48&gt;=K$11,IF(I48&lt;L$11,(((Volatilities_Resets!$AA37-Volatilities_Resets!$Y37)/50)*((Calculator!I48-Calculator!K$11)*10000)+Volatilities_Resets!$Y37)),IF(I48&gt;=K$10,IF(I48&lt;L$10,(((Volatilities_Resets!$Y37-Volatilities_Resets!$W37)/50)*((Calculator!I48-Calculator!K$10)*10000)+Volatilities_Resets!$W37)),IF(I48&gt;=K$9,IF(I48&lt;L$9,(((Volatilities_Resets!$W37-Volatilities_Resets!$U37)/50)*((Calculator!I48-Calculator!K$9)*10000)+Volatilities_Resets!$U37)),IF(I48&gt;=K$8,IF(I48&lt;L$8,(((Volatilities_Resets!$U37-Volatilities_Resets!$S37)/50)*((Calculator!I48-Calculator!K$8)*10000)+Volatilities_Resets!$S37)),IF(I48&gt;=K$7,IF(I48&lt;L$7,(((Volatilities_Resets!$S37-Volatilities_Resets!$Q37)/50)*((Calculator!I48-Calculator!K$7)*10000)+Volatilities_Resets!$Q37)),IF(I48&gt;=K$6,IF(I48&lt;L$6,(((Volatilities_Resets!$Q37-Volatilities_Resets!$O37)/50)*((Calculator!I48-Calculator!K$6)*10000)+Volatilities_Resets!$O37)),IF(I48&gt;=K$5,IF(I48&lt;L$5,(((Volatilities_Resets!$O37-Volatilities_Resets!$M37)/50)*((Calculator!I48-Calculator!K$5)*10000)+Volatilities_Resets!$M37)),IF(I48&gt;=K$4,IF(I48&lt;L$4,(((Volatilities_Resets!$M37-Volatilities_Resets!$K37)/50)*((Calculator!I48-Calculator!K$4)*10000)+Volatilities_Resets!$K37)),IF(I48&gt;=K$3,IF(I48&lt;L$3,(((Volatilities_Resets!$K37-Volatilities_Resets!$I37)/50)*((Calculator!I48-Calculator!K$3)*10000)+Volatilities_Resets!$I37)),IF(I48&gt;=K$2,IF(I48&lt;L$2,(((Volatilities_Resets!$I37-Volatilities_Resets!$G37)/50)*((Calculator!I48-Calculator!K$2)*10000)+Volatilities_Resets!$G37)),"Well, something broke...")))))))))))/10000</f>
        <v>1.7136999999999999E-2</v>
      </c>
      <c r="L48" s="47">
        <f t="shared" ca="1" si="17"/>
        <v>31906.22316412599</v>
      </c>
      <c r="M48" s="63">
        <f t="shared" ca="1" si="18"/>
        <v>1.2812880040221524E-3</v>
      </c>
      <c r="N48" s="63">
        <f t="shared" ca="1" si="44"/>
        <v>1370911.9601722409</v>
      </c>
      <c r="Q48" s="63">
        <f t="shared" ca="1" si="19"/>
        <v>113.7311979306114</v>
      </c>
      <c r="R48" s="63">
        <f ca="1">SUM($Q$15:Q48)</f>
        <v>2399.0219681213343</v>
      </c>
      <c r="T48" s="52">
        <f ca="1">EXP(-AVERAGE(J$15:J48)*G48)</f>
        <v>0.90279380619621397</v>
      </c>
      <c r="U48" s="57"/>
      <c r="V48" s="52">
        <f t="shared" ca="1" si="20"/>
        <v>34</v>
      </c>
      <c r="W48" s="71">
        <f t="shared" ca="1" si="21"/>
        <v>46014</v>
      </c>
      <c r="X48" s="71">
        <f t="shared" ca="1" si="3"/>
        <v>46045</v>
      </c>
      <c r="Y48" s="72">
        <f t="shared" ca="1" si="4"/>
        <v>31</v>
      </c>
      <c r="Z48" s="73">
        <f ca="1">SUM(Y$15:Y48)/360</f>
        <v>2.8805555555555555</v>
      </c>
      <c r="AA48" s="74">
        <f t="shared" si="22"/>
        <v>25000000</v>
      </c>
      <c r="AB48" s="59">
        <f t="shared" si="23"/>
        <v>0.03</v>
      </c>
      <c r="AC48" s="57">
        <f>Volatilities_Resets!$E37*0.01</f>
        <v>2.8616000000000003E-2</v>
      </c>
      <c r="AD48" s="61">
        <f>IF(AB48=AE$11,Volatilities_Resets!$AA37,IF(AB48&gt;=AD$11,IF(AB48&lt;AE$11,(((Volatilities_Resets!$AA37-Volatilities_Resets!$Y37)/50)*((Calculator!AB48-Calculator!AD$11)*10000)+Volatilities_Resets!$Y37)),IF(AB48&gt;=AD$10,IF(AB48&lt;AE$10,(((Volatilities_Resets!$Y37-Volatilities_Resets!$W37)/50)*((Calculator!AB48-Calculator!AD$10)*10000)+Volatilities_Resets!$W37)),IF(AB48&gt;=AD$9,IF(AB48&lt;AE$9,(((Volatilities_Resets!$W37-Volatilities_Resets!$U37)/50)*((Calculator!AB48-Calculator!AD$9)*10000)+Volatilities_Resets!$U37)),IF(AB48&gt;=AD$8,IF(AB48&lt;AE$8,(((Volatilities_Resets!$U37-Volatilities_Resets!$S37)/50)*((Calculator!AB48-Calculator!AD$8)*10000)+Volatilities_Resets!$S37)),IF(AB48&gt;=AD$7,IF(AB48&lt;AE$7,(((Volatilities_Resets!$S37-Volatilities_Resets!$Q37)/50)*((Calculator!AB48-Calculator!AD$7)*10000)+Volatilities_Resets!$Q37)),IF(AB48&gt;=AD$6,IF(AB48&lt;AE$6,(((Volatilities_Resets!$Q37-Volatilities_Resets!$O37)/50)*((Calculator!AB48-Calculator!AD$6)*10000)+Volatilities_Resets!$O37)),IF(AB48&gt;=AD$5,IF(AB48&lt;AE$5,(((Volatilities_Resets!$O37-Volatilities_Resets!$M37)/50)*((Calculator!AB48-Calculator!AD$5)*10000)+Volatilities_Resets!$M37)),IF(AB48&gt;=AD$4,IF(AB48&lt;AE$4,(((Volatilities_Resets!$M37-Volatilities_Resets!$K37)/50)*((Calculator!AB48-Calculator!AD$4)*10000)+Volatilities_Resets!$K37)),IF(AB48&gt;=AD$3,IF(AB48&lt;AE$3,(((Volatilities_Resets!$K37-Volatilities_Resets!$I37)/50)*((Calculator!AB48-Calculator!AD$3)*10000)+Volatilities_Resets!$I37)),IF(AB48&gt;=AD$2,IF(AB48&lt;AE$2,(((Volatilities_Resets!$I37-Volatilities_Resets!$G37)/50)*((Calculator!AB48-Calculator!AD$2)*10000)+Volatilities_Resets!$G37)),"Well, something broke...")))))))))))/10000</f>
        <v>1.7602E-2</v>
      </c>
      <c r="AE48" s="63">
        <f t="shared" ca="1" si="24"/>
        <v>21843.109430529665</v>
      </c>
      <c r="AF48" s="63">
        <f t="shared" ca="1" si="25"/>
        <v>8.7898252208651079E-4</v>
      </c>
      <c r="AG48" s="63">
        <f t="shared" ca="1" si="45"/>
        <v>908921.56326321373</v>
      </c>
      <c r="AJ48" s="63">
        <f t="shared" ca="1" si="26"/>
        <v>118.67551541242845</v>
      </c>
      <c r="AK48" s="63">
        <f ca="1">SUM($AJ$15:AJ48)</f>
        <v>2706.1664085535517</v>
      </c>
      <c r="AM48" s="52">
        <f ca="1">EXP(-AVERAGE(AC$15:AC48)*Z48)</f>
        <v>0.90279380619621397</v>
      </c>
      <c r="AO48" s="52">
        <f t="shared" ca="1" si="27"/>
        <v>34</v>
      </c>
      <c r="AP48" s="71">
        <f t="shared" ca="1" si="28"/>
        <v>46014</v>
      </c>
      <c r="AQ48" s="71">
        <f t="shared" ca="1" si="5"/>
        <v>46045</v>
      </c>
      <c r="AR48" s="72">
        <f t="shared" ca="1" si="6"/>
        <v>31</v>
      </c>
      <c r="AS48" s="73">
        <f ca="1">SUM(AR$15:AR48)/360</f>
        <v>2.8805555555555555</v>
      </c>
      <c r="AT48" s="74">
        <f t="shared" si="7"/>
        <v>25000000</v>
      </c>
      <c r="AU48" s="59">
        <f t="shared" si="29"/>
        <v>0.04</v>
      </c>
      <c r="AV48" s="57">
        <f>Volatilities_Resets!$E37*0.01</f>
        <v>2.8616000000000003E-2</v>
      </c>
      <c r="AW48" s="61">
        <f>IF(AU48=AX$11,Volatilities_Resets!$AA37,IF(AU48&gt;=AW$11,IF(AU48&lt;AX$11,(((Volatilities_Resets!$AA37-Volatilities_Resets!$Y37)/50)*((Calculator!AU48-Calculator!AW$11)*10000)+Volatilities_Resets!$Y37)),IF(AU48&gt;=AW$10,IF(AU48&lt;AX$10,(((Volatilities_Resets!$Y37-Volatilities_Resets!$W37)/50)*((Calculator!AU48-Calculator!AW$10)*10000)+Volatilities_Resets!$W37)),IF(AU48&gt;=AW$9,IF(AU48&lt;AX$9,(((Volatilities_Resets!$W37-Volatilities_Resets!$U37)/50)*((Calculator!AU48-Calculator!AW$9)*10000)+Volatilities_Resets!$U37)),IF(AU48&gt;=AW$8,IF(AU48&lt;AX$8,(((Volatilities_Resets!$U37-Volatilities_Resets!$S37)/50)*((Calculator!AU48-Calculator!AW$8)*10000)+Volatilities_Resets!$S37)),IF(AU48&gt;=AW$7,IF(AU48&lt;AX$7,(((Volatilities_Resets!$S37-Volatilities_Resets!$Q37)/50)*((Calculator!AU48-Calculator!AW$7)*10000)+Volatilities_Resets!$Q37)),IF(AU48&gt;=AW$6,IF(AU48&lt;AX$6,(((Volatilities_Resets!$Q37-Volatilities_Resets!$O37)/50)*((Calculator!AU48-Calculator!AW$6)*10000)+Volatilities_Resets!$O37)),IF(AU48&gt;=AW$5,IF(AU48&lt;AX$5,(((Volatilities_Resets!$O37-Volatilities_Resets!$M37)/50)*((Calculator!AU48-Calculator!AW$5)*10000)+Volatilities_Resets!$M37)),IF(AU48&gt;=AW$4,IF(AU48&lt;AX$4,(((Volatilities_Resets!$M37-Volatilities_Resets!$K37)/50)*((Calculator!AU48-Calculator!AW$4)*10000)+Volatilities_Resets!$K37)),IF(AU48&gt;=AW$3,IF(AU48&lt;AX$3,(((Volatilities_Resets!$K37-Volatilities_Resets!$I37)/50)*((Calculator!AU48-Calculator!AW$3)*10000)+Volatilities_Resets!$I37)),IF(AU48&gt;=AW$2,IF(AU48&lt;AX$2,(((Volatilities_Resets!$I37-Volatilities_Resets!$G37)/50)*((Calculator!AU48-Calculator!AW$2)*10000)+Volatilities_Resets!$G37)),"Well, something broke...")))))))))))/10000</f>
        <v>1.8540999999999998E-2</v>
      </c>
      <c r="AX48" s="63">
        <f t="shared" ca="1" si="30"/>
        <v>14915.729579212231</v>
      </c>
      <c r="AY48" s="63">
        <f t="shared" ca="1" si="31"/>
        <v>6.0156126068360157E-4</v>
      </c>
      <c r="AZ48" s="63">
        <f t="shared" ca="1" si="46"/>
        <v>530340.92432053329</v>
      </c>
      <c r="BC48" s="63">
        <f t="shared" ca="1" si="8"/>
        <v>111.31622580807502</v>
      </c>
      <c r="BD48" s="63">
        <f ca="1">SUM($BC$15:BC48)</f>
        <v>2715.4556801940321</v>
      </c>
      <c r="BF48" s="52">
        <f ca="1">EXP(-AVERAGE(AV$15:AV48)*AS48)</f>
        <v>0.90279380619621397</v>
      </c>
      <c r="BH48" s="52">
        <f t="shared" ca="1" si="32"/>
        <v>34</v>
      </c>
      <c r="BI48" s="71">
        <f t="shared" ca="1" si="33"/>
        <v>46014</v>
      </c>
      <c r="BJ48" s="71">
        <f t="shared" ca="1" si="9"/>
        <v>46045</v>
      </c>
      <c r="BK48" s="72">
        <f t="shared" ca="1" si="10"/>
        <v>31</v>
      </c>
      <c r="BL48" s="73">
        <f ca="1">SUM(BK$15:BK48)/360</f>
        <v>2.8805555555555555</v>
      </c>
      <c r="BM48" s="74">
        <f t="shared" si="11"/>
        <v>25000000</v>
      </c>
      <c r="BN48" s="59">
        <f t="shared" si="34"/>
        <v>0.05</v>
      </c>
      <c r="BO48" s="57">
        <f>Volatilities_Resets!$E37*0.01</f>
        <v>2.8616000000000003E-2</v>
      </c>
      <c r="BP48" s="61">
        <f>IF(BN48=BQ$11,Volatilities_Resets!$AA37,IF(BN48&gt;=BP$11,IF(BN48&lt;BQ$11,(((Volatilities_Resets!$AA37-Volatilities_Resets!$Y37)/50)*((Calculator!BN48-Calculator!BP$11)*10000)+Volatilities_Resets!$Y37)),IF(BN48&gt;=BP$10,IF(BN48&lt;BQ$10,(((Volatilities_Resets!$Y37-Volatilities_Resets!$W37)/50)*((Calculator!BN48-Calculator!BP$10)*10000)+Volatilities_Resets!$W37)),IF(BN48&gt;=BP$9,IF(BN48&lt;BQ$9,(((Volatilities_Resets!$W37-Volatilities_Resets!$U37)/50)*((Calculator!BN48-Calculator!BP$9)*10000)+Volatilities_Resets!$U37)),IF(BN48&gt;=BP$8,IF(BN48&lt;BQ$8,(((Volatilities_Resets!$U37-Volatilities_Resets!$S37)/50)*((Calculator!BN48-Calculator!BP$8)*10000)+Volatilities_Resets!$S37)),IF(BN48&gt;=BP$7,IF(BN48&lt;BQ$7,(((Volatilities_Resets!$S37-Volatilities_Resets!$Q37)/50)*((Calculator!BN48-Calculator!BP$7)*10000)+Volatilities_Resets!$Q37)),IF(BN48&gt;=BP$6,IF(BN48&lt;BQ$6,(((Volatilities_Resets!$Q37-Volatilities_Resets!$O37)/50)*((Calculator!BN48-Calculator!BP$6)*10000)+Volatilities_Resets!$O37)),IF(BN48&gt;=BP$5,IF(BN48&lt;BQ$5,(((Volatilities_Resets!$O37-Volatilities_Resets!$M37)/50)*((Calculator!BN48-Calculator!BP$5)*10000)+Volatilities_Resets!$M37)),IF(BN48&gt;=BP$4,IF(BN48&lt;BQ$4,(((Volatilities_Resets!$M37-Volatilities_Resets!$K37)/50)*((Calculator!BN48-Calculator!BP$4)*10000)+Volatilities_Resets!$K37)),IF(BN48&gt;=BP$3,IF(BN48&lt;BQ$3,(((Volatilities_Resets!$K37-Volatilities_Resets!$I37)/50)*((Calculator!BN48-Calculator!BP$3)*10000)+Volatilities_Resets!$I37)),IF(BN48&gt;=BP$2,IF(BN48&lt;BQ$2,(((Volatilities_Resets!$I37-Volatilities_Resets!$G37)/50)*((Calculator!BN48-Calculator!BP$2)*10000)+Volatilities_Resets!$G37)),"Well, something broke...")))))))))))/10000</f>
        <v>1.8805000000000002E-2</v>
      </c>
      <c r="BQ48" s="63">
        <f t="shared" ca="1" si="35"/>
        <v>9321.7356711544398</v>
      </c>
      <c r="BR48" s="63">
        <f t="shared" ca="1" si="36"/>
        <v>3.7707992114868999E-4</v>
      </c>
      <c r="BS48" s="63">
        <f t="shared" ca="1" si="47"/>
        <v>252533.53162516237</v>
      </c>
      <c r="BV48" s="63">
        <f t="shared" ca="1" si="37"/>
        <v>95.030204433315532</v>
      </c>
      <c r="BW48" s="63">
        <f ca="1">SUM($BV$15:BV48)</f>
        <v>2353.3375023062749</v>
      </c>
      <c r="BY48" s="52">
        <f ca="1">EXP(-AVERAGE(BO$15:BO48)*BL48)</f>
        <v>0.90279380619621397</v>
      </c>
      <c r="CA48" s="52">
        <f t="shared" ca="1" si="38"/>
        <v>34</v>
      </c>
      <c r="CB48" s="71">
        <f t="shared" ca="1" si="39"/>
        <v>46014</v>
      </c>
      <c r="CC48" s="71">
        <f t="shared" ca="1" si="12"/>
        <v>46045</v>
      </c>
      <c r="CD48" s="72">
        <f t="shared" ca="1" si="13"/>
        <v>31</v>
      </c>
      <c r="CE48" s="73">
        <f ca="1">SUM(CD$15:CD48)/360</f>
        <v>2.8805555555555555</v>
      </c>
      <c r="CF48" s="74">
        <f t="shared" si="14"/>
        <v>25000000</v>
      </c>
      <c r="CG48" s="59">
        <f t="shared" si="40"/>
        <v>0.06</v>
      </c>
      <c r="CH48" s="57">
        <f>Volatilities_Resets!$E37*0.01</f>
        <v>2.8616000000000003E-2</v>
      </c>
      <c r="CI48" s="61">
        <f>IF(CG48=CJ$11,Volatilities_Resets!$AA37,IF(CG48&gt;=CI$11,IF(CG48&lt;CJ$11,(((Volatilities_Resets!$AA37-Volatilities_Resets!$Y37)/50)*((Calculator!CG48-Calculator!CI$11)*10000)+Volatilities_Resets!$Y37)),IF(CG48&gt;=CI$10,IF(CG48&lt;CJ$10,(((Volatilities_Resets!$Y37-Volatilities_Resets!$W37)/50)*((Calculator!CG48-Calculator!CI$10)*10000)+Volatilities_Resets!$W37)),IF(CG48&gt;=CI$9,IF(CG48&lt;CJ$9,(((Volatilities_Resets!$W37-Volatilities_Resets!$U37)/50)*((Calculator!CG48-Calculator!CI$9)*10000)+Volatilities_Resets!$U37)),IF(CG48&gt;=CI$8,IF(CG48&lt;CJ$8,(((Volatilities_Resets!$U37-Volatilities_Resets!$S37)/50)*((Calculator!CG48-Calculator!CI$8)*10000)+Volatilities_Resets!$S37)),IF(CG48&gt;=CI$7,IF(CG48&lt;CJ$7,(((Volatilities_Resets!$S37-Volatilities_Resets!$Q37)/50)*((Calculator!CG48-Calculator!CI$7)*10000)+Volatilities_Resets!$Q37)),IF(CG48&gt;=CI$6,IF(CG48&lt;CJ$6,(((Volatilities_Resets!$Q37-Volatilities_Resets!$O37)/50)*((Calculator!CG48-Calculator!CI$6)*10000)+Volatilities_Resets!$O37)),IF(CG48&gt;=CI$5,IF(CG48&lt;CJ$5,(((Volatilities_Resets!$O37-Volatilities_Resets!$M37)/50)*((Calculator!CG48-Calculator!CI$5)*10000)+Volatilities_Resets!$M37)),IF(CG48&gt;=CI$4,IF(CG48&lt;CJ$4,(((Volatilities_Resets!$M37-Volatilities_Resets!$K37)/50)*((Calculator!CG48-Calculator!CI$4)*10000)+Volatilities_Resets!$K37)),IF(CG48&gt;=CI$3,IF(CG48&lt;CJ$3,(((Volatilities_Resets!$K37-Volatilities_Resets!$I37)/50)*((Calculator!CG48-Calculator!CI$3)*10000)+Volatilities_Resets!$I37)),IF(CG48&gt;=CI$2,IF(CG48&lt;CJ$2,(((Volatilities_Resets!$I37-Volatilities_Resets!$G37)/50)*((Calculator!CG48-Calculator!CI$2)*10000)+Volatilities_Resets!$G37)),"Well, something broke...")))))))))))/10000</f>
        <v>1.9651999999999999E-2</v>
      </c>
      <c r="CJ48" s="63">
        <f t="shared" ca="1" si="41"/>
        <v>6036.0690017082043</v>
      </c>
      <c r="CK48" s="63">
        <f t="shared" ca="1" si="42"/>
        <v>2.4483130402690433E-4</v>
      </c>
      <c r="CL48" s="63">
        <f t="shared" ca="1" si="48"/>
        <v>117829.02262573526</v>
      </c>
      <c r="CO48" s="63">
        <f t="shared" ca="1" si="43"/>
        <v>76.478912445653833</v>
      </c>
      <c r="CP48" s="63">
        <f ca="1">SUM($CO$15:CO48)</f>
        <v>1659.589362918397</v>
      </c>
      <c r="CR48" s="52">
        <f ca="1">EXP(-AVERAGE(CH$15:CH48)*CE48)</f>
        <v>0.90279380619621397</v>
      </c>
      <c r="CT48"/>
      <c r="CU48"/>
      <c r="CV48"/>
      <c r="CW48"/>
      <c r="CX48"/>
      <c r="CY48"/>
      <c r="CZ48"/>
      <c r="DA48"/>
      <c r="DB48"/>
      <c r="DC48"/>
      <c r="DD48"/>
      <c r="DE48"/>
      <c r="DF48"/>
      <c r="DG48"/>
      <c r="DH48"/>
      <c r="DI48"/>
      <c r="DJ48"/>
      <c r="DK48"/>
      <c r="DL48"/>
    </row>
    <row r="49" spans="2:116" ht="15.75" customHeight="1">
      <c r="B49" s="52">
        <v>3</v>
      </c>
      <c r="C49" s="52">
        <f t="shared" ca="1" si="15"/>
        <v>35</v>
      </c>
      <c r="D49" s="71">
        <f t="shared" ca="1" si="16"/>
        <v>46045</v>
      </c>
      <c r="E49" s="71">
        <f t="shared" ca="1" si="0"/>
        <v>46076</v>
      </c>
      <c r="F49" s="72">
        <f t="shared" ca="1" si="1"/>
        <v>31</v>
      </c>
      <c r="G49" s="73">
        <f ca="1">SUM($F$15:F49)/360</f>
        <v>2.9666666666666668</v>
      </c>
      <c r="H49" s="74">
        <f t="shared" si="2"/>
        <v>25000000</v>
      </c>
      <c r="I49" s="59">
        <f>IF('Cap Pricer'!$E$22=DataValidation!$C$2,'Cap Pricer'!$E$23,IF('Cap Pricer'!$E$22=DataValidation!$C$3,VLOOKUP($B49,'Cap Pricer'!$C$25:$E$31,3),""))</f>
        <v>0.02</v>
      </c>
      <c r="J49" s="57">
        <f>Volatilities_Resets!$E38*0.01</f>
        <v>2.8616000000000003E-2</v>
      </c>
      <c r="K49" s="61">
        <f>IF(I49=L$11,Volatilities_Resets!$AA38,IF(I49&gt;=K$11,IF(I49&lt;L$11,(((Volatilities_Resets!$AA38-Volatilities_Resets!$Y38)/50)*((Calculator!I49-Calculator!K$11)*10000)+Volatilities_Resets!$Y38)),IF(I49&gt;=K$10,IF(I49&lt;L$10,(((Volatilities_Resets!$Y38-Volatilities_Resets!$W38)/50)*((Calculator!I49-Calculator!K$10)*10000)+Volatilities_Resets!$W38)),IF(I49&gt;=K$9,IF(I49&lt;L$9,(((Volatilities_Resets!$W38-Volatilities_Resets!$U38)/50)*((Calculator!I49-Calculator!K$9)*10000)+Volatilities_Resets!$U38)),IF(I49&gt;=K$8,IF(I49&lt;L$8,(((Volatilities_Resets!$U38-Volatilities_Resets!$S38)/50)*((Calculator!I49-Calculator!K$8)*10000)+Volatilities_Resets!$S38)),IF(I49&gt;=K$7,IF(I49&lt;L$7,(((Volatilities_Resets!$S38-Volatilities_Resets!$Q38)/50)*((Calculator!I49-Calculator!K$7)*10000)+Volatilities_Resets!$Q38)),IF(I49&gt;=K$6,IF(I49&lt;L$6,(((Volatilities_Resets!$Q38-Volatilities_Resets!$O38)/50)*((Calculator!I49-Calculator!K$6)*10000)+Volatilities_Resets!$O38)),IF(I49&gt;=K$5,IF(I49&lt;L$5,(((Volatilities_Resets!$O38-Volatilities_Resets!$M38)/50)*((Calculator!I49-Calculator!K$5)*10000)+Volatilities_Resets!$M38)),IF(I49&gt;=K$4,IF(I49&lt;L$4,(((Volatilities_Resets!$M38-Volatilities_Resets!$K38)/50)*((Calculator!I49-Calculator!K$4)*10000)+Volatilities_Resets!$K38)),IF(I49&gt;=K$3,IF(I49&lt;L$3,(((Volatilities_Resets!$K38-Volatilities_Resets!$I38)/50)*((Calculator!I49-Calculator!K$3)*10000)+Volatilities_Resets!$I38)),IF(I49&gt;=K$2,IF(I49&lt;L$2,(((Volatilities_Resets!$I38-Volatilities_Resets!$G38)/50)*((Calculator!I49-Calculator!K$2)*10000)+Volatilities_Resets!$G38)),"Well, something broke...")))))))))))/10000</f>
        <v>1.6562999999999998E-2</v>
      </c>
      <c r="L49" s="47">
        <f t="shared" ca="1" si="17"/>
        <v>31415.354682182591</v>
      </c>
      <c r="M49" s="63">
        <f t="shared" ca="1" si="18"/>
        <v>1.2617066735397964E-3</v>
      </c>
      <c r="N49" s="63">
        <f t="shared" ca="1" si="44"/>
        <v>1402327.3148544235</v>
      </c>
      <c r="Q49" s="63">
        <f t="shared" ca="1" si="19"/>
        <v>114.65268814553745</v>
      </c>
      <c r="R49" s="63">
        <f ca="1">SUM($Q$15:Q49)</f>
        <v>2513.6746562668718</v>
      </c>
      <c r="T49" s="52">
        <f ca="1">EXP(-AVERAGE(J$15:J49)*G49)</f>
        <v>0.90056355548854361</v>
      </c>
      <c r="U49" s="57"/>
      <c r="V49" s="52">
        <f t="shared" ca="1" si="20"/>
        <v>35</v>
      </c>
      <c r="W49" s="71">
        <f t="shared" ca="1" si="21"/>
        <v>46045</v>
      </c>
      <c r="X49" s="71">
        <f t="shared" ca="1" si="3"/>
        <v>46076</v>
      </c>
      <c r="Y49" s="72">
        <f t="shared" ca="1" si="4"/>
        <v>31</v>
      </c>
      <c r="Z49" s="73">
        <f ca="1">SUM(Y$15:Y49)/360</f>
        <v>2.9666666666666668</v>
      </c>
      <c r="AA49" s="74">
        <f t="shared" si="22"/>
        <v>25000000</v>
      </c>
      <c r="AB49" s="59">
        <f t="shared" si="23"/>
        <v>0.03</v>
      </c>
      <c r="AC49" s="57">
        <f>Volatilities_Resets!$E38*0.01</f>
        <v>2.8616000000000003E-2</v>
      </c>
      <c r="AD49" s="61">
        <f>IF(AB49=AE$11,Volatilities_Resets!$AA38,IF(AB49&gt;=AD$11,IF(AB49&lt;AE$11,(((Volatilities_Resets!$AA38-Volatilities_Resets!$Y38)/50)*((Calculator!AB49-Calculator!AD$11)*10000)+Volatilities_Resets!$Y38)),IF(AB49&gt;=AD$10,IF(AB49&lt;AE$10,(((Volatilities_Resets!$Y38-Volatilities_Resets!$W38)/50)*((Calculator!AB49-Calculator!AD$10)*10000)+Volatilities_Resets!$W38)),IF(AB49&gt;=AD$9,IF(AB49&lt;AE$9,(((Volatilities_Resets!$W38-Volatilities_Resets!$U38)/50)*((Calculator!AB49-Calculator!AD$9)*10000)+Volatilities_Resets!$U38)),IF(AB49&gt;=AD$8,IF(AB49&lt;AE$8,(((Volatilities_Resets!$U38-Volatilities_Resets!$S38)/50)*((Calculator!AB49-Calculator!AD$8)*10000)+Volatilities_Resets!$S38)),IF(AB49&gt;=AD$7,IF(AB49&lt;AE$7,(((Volatilities_Resets!$S38-Volatilities_Resets!$Q38)/50)*((Calculator!AB49-Calculator!AD$7)*10000)+Volatilities_Resets!$Q38)),IF(AB49&gt;=AD$6,IF(AB49&lt;AE$6,(((Volatilities_Resets!$Q38-Volatilities_Resets!$O38)/50)*((Calculator!AB49-Calculator!AD$6)*10000)+Volatilities_Resets!$O38)),IF(AB49&gt;=AD$5,IF(AB49&lt;AE$5,(((Volatilities_Resets!$O38-Volatilities_Resets!$M38)/50)*((Calculator!AB49-Calculator!AD$5)*10000)+Volatilities_Resets!$M38)),IF(AB49&gt;=AD$4,IF(AB49&lt;AE$4,(((Volatilities_Resets!$M38-Volatilities_Resets!$K38)/50)*((Calculator!AB49-Calculator!AD$4)*10000)+Volatilities_Resets!$K38)),IF(AB49&gt;=AD$3,IF(AB49&lt;AE$3,(((Volatilities_Resets!$K38-Volatilities_Resets!$I38)/50)*((Calculator!AB49-Calculator!AD$3)*10000)+Volatilities_Resets!$I38)),IF(AB49&gt;=AD$2,IF(AB49&lt;AE$2,(((Volatilities_Resets!$I38-Volatilities_Resets!$G38)/50)*((Calculator!AB49-Calculator!AD$2)*10000)+Volatilities_Resets!$G38)),"Well, something broke...")))))))))))/10000</f>
        <v>1.6895E-2</v>
      </c>
      <c r="AE49" s="63">
        <f t="shared" ca="1" si="24"/>
        <v>21190.787930206541</v>
      </c>
      <c r="AF49" s="63">
        <f t="shared" ca="1" si="25"/>
        <v>8.5295418930089436E-4</v>
      </c>
      <c r="AG49" s="63">
        <f t="shared" ca="1" si="45"/>
        <v>930112.35119342024</v>
      </c>
      <c r="AJ49" s="63">
        <f t="shared" ca="1" si="26"/>
        <v>119.83511261102443</v>
      </c>
      <c r="AK49" s="63">
        <f ca="1">SUM($AJ$15:AJ49)</f>
        <v>2826.0015211645759</v>
      </c>
      <c r="AM49" s="52">
        <f ca="1">EXP(-AVERAGE(AC$15:AC49)*Z49)</f>
        <v>0.90056355548854361</v>
      </c>
      <c r="AO49" s="52">
        <f t="shared" ca="1" si="27"/>
        <v>35</v>
      </c>
      <c r="AP49" s="71">
        <f t="shared" ca="1" si="28"/>
        <v>46045</v>
      </c>
      <c r="AQ49" s="71">
        <f t="shared" ca="1" si="5"/>
        <v>46076</v>
      </c>
      <c r="AR49" s="72">
        <f t="shared" ca="1" si="6"/>
        <v>31</v>
      </c>
      <c r="AS49" s="73">
        <f ca="1">SUM(AR$15:AR49)/360</f>
        <v>2.9666666666666668</v>
      </c>
      <c r="AT49" s="74">
        <f t="shared" si="7"/>
        <v>25000000</v>
      </c>
      <c r="AU49" s="59">
        <f t="shared" si="29"/>
        <v>0.04</v>
      </c>
      <c r="AV49" s="57">
        <f>Volatilities_Resets!$E38*0.01</f>
        <v>2.8616000000000003E-2</v>
      </c>
      <c r="AW49" s="61">
        <f>IF(AU49=AX$11,Volatilities_Resets!$AA38,IF(AU49&gt;=AW$11,IF(AU49&lt;AX$11,(((Volatilities_Resets!$AA38-Volatilities_Resets!$Y38)/50)*((Calculator!AU49-Calculator!AW$11)*10000)+Volatilities_Resets!$Y38)),IF(AU49&gt;=AW$10,IF(AU49&lt;AX$10,(((Volatilities_Resets!$Y38-Volatilities_Resets!$W38)/50)*((Calculator!AU49-Calculator!AW$10)*10000)+Volatilities_Resets!$W38)),IF(AU49&gt;=AW$9,IF(AU49&lt;AX$9,(((Volatilities_Resets!$W38-Volatilities_Resets!$U38)/50)*((Calculator!AU49-Calculator!AW$9)*10000)+Volatilities_Resets!$U38)),IF(AU49&gt;=AW$8,IF(AU49&lt;AX$8,(((Volatilities_Resets!$U38-Volatilities_Resets!$S38)/50)*((Calculator!AU49-Calculator!AW$8)*10000)+Volatilities_Resets!$S38)),IF(AU49&gt;=AW$7,IF(AU49&lt;AX$7,(((Volatilities_Resets!$S38-Volatilities_Resets!$Q38)/50)*((Calculator!AU49-Calculator!AW$7)*10000)+Volatilities_Resets!$Q38)),IF(AU49&gt;=AW$6,IF(AU49&lt;AX$6,(((Volatilities_Resets!$Q38-Volatilities_Resets!$O38)/50)*((Calculator!AU49-Calculator!AW$6)*10000)+Volatilities_Resets!$O38)),IF(AU49&gt;=AW$5,IF(AU49&lt;AX$5,(((Volatilities_Resets!$O38-Volatilities_Resets!$M38)/50)*((Calculator!AU49-Calculator!AW$5)*10000)+Volatilities_Resets!$M38)),IF(AU49&gt;=AW$4,IF(AU49&lt;AX$4,(((Volatilities_Resets!$M38-Volatilities_Resets!$K38)/50)*((Calculator!AU49-Calculator!AW$4)*10000)+Volatilities_Resets!$K38)),IF(AU49&gt;=AW$3,IF(AU49&lt;AX$3,(((Volatilities_Resets!$K38-Volatilities_Resets!$I38)/50)*((Calculator!AU49-Calculator!AW$3)*10000)+Volatilities_Resets!$I38)),IF(AU49&gt;=AW$2,IF(AU49&lt;AX$2,(((Volatilities_Resets!$I38-Volatilities_Resets!$G38)/50)*((Calculator!AU49-Calculator!AW$2)*10000)+Volatilities_Resets!$G38)),"Well, something broke...")))))))))))/10000</f>
        <v>1.7817E-2</v>
      </c>
      <c r="AX49" s="63">
        <f t="shared" ca="1" si="30"/>
        <v>14314.66094436473</v>
      </c>
      <c r="AY49" s="63">
        <f t="shared" ca="1" si="31"/>
        <v>5.7756269741195436E-4</v>
      </c>
      <c r="AZ49" s="63">
        <f t="shared" ca="1" si="46"/>
        <v>544655.58526489802</v>
      </c>
      <c r="BC49" s="63">
        <f t="shared" ca="1" si="8"/>
        <v>112.03595180149271</v>
      </c>
      <c r="BD49" s="63">
        <f ca="1">SUM($BC$15:BC49)</f>
        <v>2827.4916319955246</v>
      </c>
      <c r="BF49" s="52">
        <f ca="1">EXP(-AVERAGE(AV$15:AV49)*AS49)</f>
        <v>0.90056355548854361</v>
      </c>
      <c r="BH49" s="52">
        <f t="shared" ca="1" si="32"/>
        <v>35</v>
      </c>
      <c r="BI49" s="71">
        <f t="shared" ca="1" si="33"/>
        <v>46045</v>
      </c>
      <c r="BJ49" s="71">
        <f t="shared" ca="1" si="9"/>
        <v>46076</v>
      </c>
      <c r="BK49" s="72">
        <f t="shared" ca="1" si="10"/>
        <v>31</v>
      </c>
      <c r="BL49" s="73">
        <f ca="1">SUM(BK$15:BK49)/360</f>
        <v>2.9666666666666668</v>
      </c>
      <c r="BM49" s="74">
        <f t="shared" si="11"/>
        <v>25000000</v>
      </c>
      <c r="BN49" s="59">
        <f t="shared" si="34"/>
        <v>0.05</v>
      </c>
      <c r="BO49" s="57">
        <f>Volatilities_Resets!$E38*0.01</f>
        <v>2.8616000000000003E-2</v>
      </c>
      <c r="BP49" s="61">
        <f>IF(BN49=BQ$11,Volatilities_Resets!$AA38,IF(BN49&gt;=BP$11,IF(BN49&lt;BQ$11,(((Volatilities_Resets!$AA38-Volatilities_Resets!$Y38)/50)*((Calculator!BN49-Calculator!BP$11)*10000)+Volatilities_Resets!$Y38)),IF(BN49&gt;=BP$10,IF(BN49&lt;BQ$10,(((Volatilities_Resets!$Y38-Volatilities_Resets!$W38)/50)*((Calculator!BN49-Calculator!BP$10)*10000)+Volatilities_Resets!$W38)),IF(BN49&gt;=BP$9,IF(BN49&lt;BQ$9,(((Volatilities_Resets!$W38-Volatilities_Resets!$U38)/50)*((Calculator!BN49-Calculator!BP$9)*10000)+Volatilities_Resets!$U38)),IF(BN49&gt;=BP$8,IF(BN49&lt;BQ$8,(((Volatilities_Resets!$U38-Volatilities_Resets!$S38)/50)*((Calculator!BN49-Calculator!BP$8)*10000)+Volatilities_Resets!$S38)),IF(BN49&gt;=BP$7,IF(BN49&lt;BQ$7,(((Volatilities_Resets!$S38-Volatilities_Resets!$Q38)/50)*((Calculator!BN49-Calculator!BP$7)*10000)+Volatilities_Resets!$Q38)),IF(BN49&gt;=BP$6,IF(BN49&lt;BQ$6,(((Volatilities_Resets!$Q38-Volatilities_Resets!$O38)/50)*((Calculator!BN49-Calculator!BP$6)*10000)+Volatilities_Resets!$O38)),IF(BN49&gt;=BP$5,IF(BN49&lt;BQ$5,(((Volatilities_Resets!$O38-Volatilities_Resets!$M38)/50)*((Calculator!BN49-Calculator!BP$5)*10000)+Volatilities_Resets!$M38)),IF(BN49&gt;=BP$4,IF(BN49&lt;BQ$4,(((Volatilities_Resets!$M38-Volatilities_Resets!$K38)/50)*((Calculator!BN49-Calculator!BP$4)*10000)+Volatilities_Resets!$K38)),IF(BN49&gt;=BP$3,IF(BN49&lt;BQ$3,(((Volatilities_Resets!$K38-Volatilities_Resets!$I38)/50)*((Calculator!BN49-Calculator!BP$3)*10000)+Volatilities_Resets!$I38)),IF(BN49&gt;=BP$2,IF(BN49&lt;BQ$2,(((Volatilities_Resets!$I38-Volatilities_Resets!$G38)/50)*((Calculator!BN49-Calculator!BP$2)*10000)+Volatilities_Resets!$G38)),"Well, something broke...")))))))))))/10000</f>
        <v>1.8144999999999998E-2</v>
      </c>
      <c r="BQ49" s="63">
        <f t="shared" ca="1" si="35"/>
        <v>8890.8075418501758</v>
      </c>
      <c r="BR49" s="63">
        <f t="shared" ca="1" si="36"/>
        <v>3.598542746910639E-4</v>
      </c>
      <c r="BS49" s="63">
        <f t="shared" ca="1" si="47"/>
        <v>261424.33916701254</v>
      </c>
      <c r="BV49" s="63">
        <f t="shared" ca="1" si="37"/>
        <v>95.053875785435153</v>
      </c>
      <c r="BW49" s="63">
        <f ca="1">SUM($BV$15:BV49)</f>
        <v>2448.3913780917101</v>
      </c>
      <c r="BY49" s="52">
        <f ca="1">EXP(-AVERAGE(BO$15:BO49)*BL49)</f>
        <v>0.90056355548854361</v>
      </c>
      <c r="CA49" s="52">
        <f t="shared" ca="1" si="38"/>
        <v>35</v>
      </c>
      <c r="CB49" s="71">
        <f t="shared" ca="1" si="39"/>
        <v>46045</v>
      </c>
      <c r="CC49" s="71">
        <f t="shared" ca="1" si="12"/>
        <v>46076</v>
      </c>
      <c r="CD49" s="72">
        <f t="shared" ca="1" si="13"/>
        <v>31</v>
      </c>
      <c r="CE49" s="73">
        <f ca="1">SUM(CD$15:CD49)/360</f>
        <v>2.9666666666666668</v>
      </c>
      <c r="CF49" s="74">
        <f t="shared" si="14"/>
        <v>25000000</v>
      </c>
      <c r="CG49" s="59">
        <f t="shared" si="40"/>
        <v>0.06</v>
      </c>
      <c r="CH49" s="57">
        <f>Volatilities_Resets!$E38*0.01</f>
        <v>2.8616000000000003E-2</v>
      </c>
      <c r="CI49" s="61">
        <f>IF(CG49=CJ$11,Volatilities_Resets!$AA38,IF(CG49&gt;=CI$11,IF(CG49&lt;CJ$11,(((Volatilities_Resets!$AA38-Volatilities_Resets!$Y38)/50)*((Calculator!CG49-Calculator!CI$11)*10000)+Volatilities_Resets!$Y38)),IF(CG49&gt;=CI$10,IF(CG49&lt;CJ$10,(((Volatilities_Resets!$Y38-Volatilities_Resets!$W38)/50)*((Calculator!CG49-Calculator!CI$10)*10000)+Volatilities_Resets!$W38)),IF(CG49&gt;=CI$9,IF(CG49&lt;CJ$9,(((Volatilities_Resets!$W38-Volatilities_Resets!$U38)/50)*((Calculator!CG49-Calculator!CI$9)*10000)+Volatilities_Resets!$U38)),IF(CG49&gt;=CI$8,IF(CG49&lt;CJ$8,(((Volatilities_Resets!$U38-Volatilities_Resets!$S38)/50)*((Calculator!CG49-Calculator!CI$8)*10000)+Volatilities_Resets!$S38)),IF(CG49&gt;=CI$7,IF(CG49&lt;CJ$7,(((Volatilities_Resets!$S38-Volatilities_Resets!$Q38)/50)*((Calculator!CG49-Calculator!CI$7)*10000)+Volatilities_Resets!$Q38)),IF(CG49&gt;=CI$6,IF(CG49&lt;CJ$6,(((Volatilities_Resets!$Q38-Volatilities_Resets!$O38)/50)*((Calculator!CG49-Calculator!CI$6)*10000)+Volatilities_Resets!$O38)),IF(CG49&gt;=CI$5,IF(CG49&lt;CJ$5,(((Volatilities_Resets!$O38-Volatilities_Resets!$M38)/50)*((Calculator!CG49-Calculator!CI$5)*10000)+Volatilities_Resets!$M38)),IF(CG49&gt;=CI$4,IF(CG49&lt;CJ$4,(((Volatilities_Resets!$M38-Volatilities_Resets!$K38)/50)*((Calculator!CG49-Calculator!CI$4)*10000)+Volatilities_Resets!$K38)),IF(CG49&gt;=CI$3,IF(CG49&lt;CJ$3,(((Volatilities_Resets!$K38-Volatilities_Resets!$I38)/50)*((Calculator!CG49-Calculator!CI$3)*10000)+Volatilities_Resets!$I38)),IF(CG49&gt;=CI$2,IF(CG49&lt;CJ$2,(((Volatilities_Resets!$I38-Volatilities_Resets!$G38)/50)*((Calculator!CG49-Calculator!CI$2)*10000)+Volatilities_Resets!$G38)),"Well, something broke...")))))))))))/10000</f>
        <v>1.9094999999999997E-2</v>
      </c>
      <c r="CJ49" s="63">
        <f t="shared" ca="1" si="41"/>
        <v>5791.8328622546414</v>
      </c>
      <c r="CK49" s="63">
        <f t="shared" ca="1" si="42"/>
        <v>2.3506115479161524E-4</v>
      </c>
      <c r="CL49" s="63">
        <f t="shared" ca="1" si="48"/>
        <v>123620.8554879899</v>
      </c>
      <c r="CO49" s="63">
        <f t="shared" ca="1" si="43"/>
        <v>76.274137682070076</v>
      </c>
      <c r="CP49" s="63">
        <f ca="1">SUM($CO$15:CO49)</f>
        <v>1735.863500600467</v>
      </c>
      <c r="CR49" s="52">
        <f ca="1">EXP(-AVERAGE(CH$15:CH49)*CE49)</f>
        <v>0.90056355548854361</v>
      </c>
      <c r="CT49"/>
      <c r="CU49"/>
      <c r="CV49"/>
      <c r="CW49"/>
      <c r="CX49"/>
      <c r="CY49"/>
      <c r="CZ49"/>
      <c r="DA49"/>
      <c r="DB49"/>
      <c r="DC49"/>
      <c r="DD49"/>
      <c r="DE49"/>
      <c r="DF49"/>
      <c r="DG49"/>
      <c r="DH49"/>
      <c r="DI49"/>
      <c r="DJ49"/>
      <c r="DK49"/>
      <c r="DL49"/>
    </row>
    <row r="50" spans="2:116" ht="15.75" customHeight="1">
      <c r="B50" s="52">
        <v>3</v>
      </c>
      <c r="C50" s="75">
        <f t="shared" ca="1" si="15"/>
        <v>36</v>
      </c>
      <c r="D50" s="76">
        <f t="shared" ca="1" si="16"/>
        <v>46076</v>
      </c>
      <c r="E50" s="76">
        <f t="shared" ca="1" si="0"/>
        <v>46104</v>
      </c>
      <c r="F50" s="77">
        <f t="shared" ca="1" si="1"/>
        <v>28</v>
      </c>
      <c r="G50" s="78">
        <f ca="1">SUM($F$15:F50)/360</f>
        <v>3.0444444444444443</v>
      </c>
      <c r="H50" s="79">
        <f t="shared" si="2"/>
        <v>25000000</v>
      </c>
      <c r="I50" s="80">
        <f>IF('Cap Pricer'!$E$22=DataValidation!$C$2,'Cap Pricer'!$E$23,IF('Cap Pricer'!$E$22=DataValidation!$C$3,VLOOKUP($B50,'Cap Pricer'!$C$25:$E$31,3),""))</f>
        <v>0.02</v>
      </c>
      <c r="J50" s="81">
        <f>Volatilities_Resets!$E39*0.01</f>
        <v>2.8612600000000002E-2</v>
      </c>
      <c r="K50" s="82">
        <f>IF(I50=L$11,Volatilities_Resets!$AA39,IF(I50&gt;=K$11,IF(I50&lt;L$11,(((Volatilities_Resets!$AA39-Volatilities_Resets!$Y39)/50)*((Calculator!I50-Calculator!K$11)*10000)+Volatilities_Resets!$Y39)),IF(I50&gt;=K$10,IF(I50&lt;L$10,(((Volatilities_Resets!$Y39-Volatilities_Resets!$W39)/50)*((Calculator!I50-Calculator!K$10)*10000)+Volatilities_Resets!$W39)),IF(I50&gt;=K$9,IF(I50&lt;L$9,(((Volatilities_Resets!$W39-Volatilities_Resets!$U39)/50)*((Calculator!I50-Calculator!K$9)*10000)+Volatilities_Resets!$U39)),IF(I50&gt;=K$8,IF(I50&lt;L$8,(((Volatilities_Resets!$U39-Volatilities_Resets!$S39)/50)*((Calculator!I50-Calculator!K$8)*10000)+Volatilities_Resets!$S39)),IF(I50&gt;=K$7,IF(I50&lt;L$7,(((Volatilities_Resets!$S39-Volatilities_Resets!$Q39)/50)*((Calculator!I50-Calculator!K$7)*10000)+Volatilities_Resets!$Q39)),IF(I50&gt;=K$6,IF(I50&lt;L$6,(((Volatilities_Resets!$Q39-Volatilities_Resets!$O39)/50)*((Calculator!I50-Calculator!K$6)*10000)+Volatilities_Resets!$O39)),IF(I50&gt;=K$5,IF(I50&lt;L$5,(((Volatilities_Resets!$O39-Volatilities_Resets!$M39)/50)*((Calculator!I50-Calculator!K$5)*10000)+Volatilities_Resets!$M39)),IF(I50&gt;=K$4,IF(I50&lt;L$4,(((Volatilities_Resets!$M39-Volatilities_Resets!$K39)/50)*((Calculator!I50-Calculator!K$4)*10000)+Volatilities_Resets!$K39)),IF(I50&gt;=K$3,IF(I50&lt;L$3,(((Volatilities_Resets!$K39-Volatilities_Resets!$I39)/50)*((Calculator!I50-Calculator!K$3)*10000)+Volatilities_Resets!$I39)),IF(I50&gt;=K$2,IF(I50&lt;L$2,(((Volatilities_Resets!$I39-Volatilities_Resets!$G39)/50)*((Calculator!I50-Calculator!K$2)*10000)+Volatilities_Resets!$G39)),"Well, something broke...")))))))))))/10000</f>
        <v>1.5952999999999998E-2</v>
      </c>
      <c r="L50" s="83">
        <f t="shared" ca="1" si="17"/>
        <v>27848.801199937785</v>
      </c>
      <c r="M50" s="84">
        <f t="shared" ca="1" si="18"/>
        <v>1.1185910857700054E-3</v>
      </c>
      <c r="N50" s="84">
        <f t="shared" ca="1" si="44"/>
        <v>1430176.1160543612</v>
      </c>
      <c r="O50" s="84">
        <f ca="1">SUM(L39:L50)</f>
        <v>363030.68928694742</v>
      </c>
      <c r="P50" s="49"/>
      <c r="Q50" s="84">
        <f t="shared" ca="1" si="19"/>
        <v>104.21627046225649</v>
      </c>
      <c r="R50" s="84">
        <f ca="1">SUM($Q$15:Q50)</f>
        <v>2617.8909267291283</v>
      </c>
      <c r="T50" s="52">
        <f ca="1">EXP(-AVERAGE(J$15:J50)*G50)</f>
        <v>0.89860247381628178</v>
      </c>
      <c r="U50" s="57"/>
      <c r="V50" s="75">
        <f t="shared" ca="1" si="20"/>
        <v>36</v>
      </c>
      <c r="W50" s="76">
        <f t="shared" ca="1" si="21"/>
        <v>46076</v>
      </c>
      <c r="X50" s="76">
        <f t="shared" ca="1" si="3"/>
        <v>46104</v>
      </c>
      <c r="Y50" s="77">
        <f t="shared" ca="1" si="4"/>
        <v>28</v>
      </c>
      <c r="Z50" s="78">
        <f ca="1">SUM(Y$15:Y50)/360</f>
        <v>3.0444444444444443</v>
      </c>
      <c r="AA50" s="79">
        <f t="shared" si="22"/>
        <v>25000000</v>
      </c>
      <c r="AB50" s="80">
        <f t="shared" si="23"/>
        <v>0.03</v>
      </c>
      <c r="AC50" s="81">
        <f>Volatilities_Resets!$E39*0.01</f>
        <v>2.8612600000000002E-2</v>
      </c>
      <c r="AD50" s="82">
        <f>IF(AB50=AE$11,Volatilities_Resets!$AA39,IF(AB50&gt;=AD$11,IF(AB50&lt;AE$11,(((Volatilities_Resets!$AA39-Volatilities_Resets!$Y39)/50)*((Calculator!AB50-Calculator!AD$11)*10000)+Volatilities_Resets!$Y39)),IF(AB50&gt;=AD$10,IF(AB50&lt;AE$10,(((Volatilities_Resets!$Y39-Volatilities_Resets!$W39)/50)*((Calculator!AB50-Calculator!AD$10)*10000)+Volatilities_Resets!$W39)),IF(AB50&gt;=AD$9,IF(AB50&lt;AE$9,(((Volatilities_Resets!$W39-Volatilities_Resets!$U39)/50)*((Calculator!AB50-Calculator!AD$9)*10000)+Volatilities_Resets!$U39)),IF(AB50&gt;=AD$8,IF(AB50&lt;AE$8,(((Volatilities_Resets!$U39-Volatilities_Resets!$S39)/50)*((Calculator!AB50-Calculator!AD$8)*10000)+Volatilities_Resets!$S39)),IF(AB50&gt;=AD$7,IF(AB50&lt;AE$7,(((Volatilities_Resets!$S39-Volatilities_Resets!$Q39)/50)*((Calculator!AB50-Calculator!AD$7)*10000)+Volatilities_Resets!$Q39)),IF(AB50&gt;=AD$6,IF(AB50&lt;AE$6,(((Volatilities_Resets!$Q39-Volatilities_Resets!$O39)/50)*((Calculator!AB50-Calculator!AD$6)*10000)+Volatilities_Resets!$O39)),IF(AB50&gt;=AD$5,IF(AB50&lt;AE$5,(((Volatilities_Resets!$O39-Volatilities_Resets!$M39)/50)*((Calculator!AB50-Calculator!AD$5)*10000)+Volatilities_Resets!$M39)),IF(AB50&gt;=AD$4,IF(AB50&lt;AE$4,(((Volatilities_Resets!$M39-Volatilities_Resets!$K39)/50)*((Calculator!AB50-Calculator!AD$4)*10000)+Volatilities_Resets!$K39)),IF(AB50&gt;=AD$3,IF(AB50&lt;AE$3,(((Volatilities_Resets!$K39-Volatilities_Resets!$I39)/50)*((Calculator!AB50-Calculator!AD$3)*10000)+Volatilities_Resets!$I39)),IF(AB50&gt;=AD$2,IF(AB50&lt;AE$2,(((Volatilities_Resets!$I39-Volatilities_Resets!$G39)/50)*((Calculator!AB50-Calculator!AD$2)*10000)+Volatilities_Resets!$G39)),"Well, something broke...")))))))))))/10000</f>
        <v>1.6131E-2</v>
      </c>
      <c r="AE50" s="84">
        <f t="shared" ca="1" si="24"/>
        <v>18431.268123350037</v>
      </c>
      <c r="AF50" s="84">
        <f t="shared" ca="1" si="25"/>
        <v>7.4210990347461079E-4</v>
      </c>
      <c r="AG50" s="84">
        <f t="shared" ca="1" si="45"/>
        <v>948543.61931677023</v>
      </c>
      <c r="AH50" s="84">
        <f ca="1">SUM(AE39:AE50)</f>
        <v>241808.83449625646</v>
      </c>
      <c r="AI50" s="49"/>
      <c r="AJ50" s="84">
        <f t="shared" ca="1" si="26"/>
        <v>109.16174643266361</v>
      </c>
      <c r="AK50" s="84">
        <f ca="1">SUM($AJ$15:AJ50)</f>
        <v>2935.1632675972396</v>
      </c>
      <c r="AM50" s="52">
        <f ca="1">EXP(-AVERAGE(AC$15:AC50)*Z50)</f>
        <v>0.89860247381628178</v>
      </c>
      <c r="AO50" s="75">
        <f t="shared" ca="1" si="27"/>
        <v>36</v>
      </c>
      <c r="AP50" s="76">
        <f t="shared" ca="1" si="28"/>
        <v>46076</v>
      </c>
      <c r="AQ50" s="76">
        <f t="shared" ca="1" si="5"/>
        <v>46104</v>
      </c>
      <c r="AR50" s="77">
        <f t="shared" ca="1" si="6"/>
        <v>28</v>
      </c>
      <c r="AS50" s="78">
        <f ca="1">SUM(AR$15:AR50)/360</f>
        <v>3.0444444444444443</v>
      </c>
      <c r="AT50" s="79">
        <f t="shared" si="7"/>
        <v>25000000</v>
      </c>
      <c r="AU50" s="80">
        <f t="shared" si="29"/>
        <v>0.04</v>
      </c>
      <c r="AV50" s="81">
        <f>Volatilities_Resets!$E39*0.01</f>
        <v>2.8612600000000002E-2</v>
      </c>
      <c r="AW50" s="82">
        <f>IF(AU50=AX$11,Volatilities_Resets!$AA39,IF(AU50&gt;=AW$11,IF(AU50&lt;AX$11,(((Volatilities_Resets!$AA39-Volatilities_Resets!$Y39)/50)*((Calculator!AU50-Calculator!AW$11)*10000)+Volatilities_Resets!$Y39)),IF(AU50&gt;=AW$10,IF(AU50&lt;AX$10,(((Volatilities_Resets!$Y39-Volatilities_Resets!$W39)/50)*((Calculator!AU50-Calculator!AW$10)*10000)+Volatilities_Resets!$W39)),IF(AU50&gt;=AW$9,IF(AU50&lt;AX$9,(((Volatilities_Resets!$W39-Volatilities_Resets!$U39)/50)*((Calculator!AU50-Calculator!AW$9)*10000)+Volatilities_Resets!$U39)),IF(AU50&gt;=AW$8,IF(AU50&lt;AX$8,(((Volatilities_Resets!$U39-Volatilities_Resets!$S39)/50)*((Calculator!AU50-Calculator!AW$8)*10000)+Volatilities_Resets!$S39)),IF(AU50&gt;=AW$7,IF(AU50&lt;AX$7,(((Volatilities_Resets!$S39-Volatilities_Resets!$Q39)/50)*((Calculator!AU50-Calculator!AW$7)*10000)+Volatilities_Resets!$Q39)),IF(AU50&gt;=AW$6,IF(AU50&lt;AX$6,(((Volatilities_Resets!$Q39-Volatilities_Resets!$O39)/50)*((Calculator!AU50-Calculator!AW$6)*10000)+Volatilities_Resets!$O39)),IF(AU50&gt;=AW$5,IF(AU50&lt;AX$5,(((Volatilities_Resets!$O39-Volatilities_Resets!$M39)/50)*((Calculator!AU50-Calculator!AW$5)*10000)+Volatilities_Resets!$M39)),IF(AU50&gt;=AW$4,IF(AU50&lt;AX$4,(((Volatilities_Resets!$M39-Volatilities_Resets!$K39)/50)*((Calculator!AU50-Calculator!AW$4)*10000)+Volatilities_Resets!$K39)),IF(AU50&gt;=AW$3,IF(AU50&lt;AX$3,(((Volatilities_Resets!$K39-Volatilities_Resets!$I39)/50)*((Calculator!AU50-Calculator!AW$3)*10000)+Volatilities_Resets!$I39)),IF(AU50&gt;=AW$2,IF(AU50&lt;AX$2,(((Volatilities_Resets!$I39-Volatilities_Resets!$G39)/50)*((Calculator!AU50-Calculator!AW$2)*10000)+Volatilities_Resets!$G39)),"Well, something broke...")))))))))))/10000</f>
        <v>1.7028000000000001E-2</v>
      </c>
      <c r="AX50" s="84">
        <f t="shared" ca="1" si="30"/>
        <v>12264.819530008008</v>
      </c>
      <c r="AY50" s="84">
        <f t="shared" ca="1" si="31"/>
        <v>4.9511524540042596E-4</v>
      </c>
      <c r="AZ50" s="84">
        <f t="shared" ca="1" si="46"/>
        <v>556920.40479490603</v>
      </c>
      <c r="BA50" s="84">
        <f ca="1">SUM(AX39:AX50)</f>
        <v>159899.02356935653</v>
      </c>
      <c r="BB50" s="49"/>
      <c r="BC50" s="84">
        <f t="shared" ca="1" si="8"/>
        <v>101.5974379490121</v>
      </c>
      <c r="BD50" s="84">
        <f ca="1">SUM($BC$15:BC50)</f>
        <v>2929.0890699445367</v>
      </c>
      <c r="BF50" s="52">
        <f ca="1">EXP(-AVERAGE(AV$15:AV50)*AS50)</f>
        <v>0.89860247381628178</v>
      </c>
      <c r="BH50" s="75">
        <f t="shared" ca="1" si="32"/>
        <v>36</v>
      </c>
      <c r="BI50" s="76">
        <f t="shared" ca="1" si="33"/>
        <v>46076</v>
      </c>
      <c r="BJ50" s="76">
        <f t="shared" ca="1" si="9"/>
        <v>46104</v>
      </c>
      <c r="BK50" s="77">
        <f t="shared" ca="1" si="10"/>
        <v>28</v>
      </c>
      <c r="BL50" s="78">
        <f ca="1">SUM(BK$15:BK50)/360</f>
        <v>3.0444444444444443</v>
      </c>
      <c r="BM50" s="79">
        <f t="shared" si="11"/>
        <v>25000000</v>
      </c>
      <c r="BN50" s="80">
        <f t="shared" si="34"/>
        <v>0.05</v>
      </c>
      <c r="BO50" s="81">
        <f>Volatilities_Resets!$E39*0.01</f>
        <v>2.8612600000000002E-2</v>
      </c>
      <c r="BP50" s="82">
        <f>IF(BN50=BQ$11,Volatilities_Resets!$AA39,IF(BN50&gt;=BP$11,IF(BN50&lt;BQ$11,(((Volatilities_Resets!$AA39-Volatilities_Resets!$Y39)/50)*((Calculator!BN50-Calculator!BP$11)*10000)+Volatilities_Resets!$Y39)),IF(BN50&gt;=BP$10,IF(BN50&lt;BQ$10,(((Volatilities_Resets!$Y39-Volatilities_Resets!$W39)/50)*((Calculator!BN50-Calculator!BP$10)*10000)+Volatilities_Resets!$W39)),IF(BN50&gt;=BP$9,IF(BN50&lt;BQ$9,(((Volatilities_Resets!$W39-Volatilities_Resets!$U39)/50)*((Calculator!BN50-Calculator!BP$9)*10000)+Volatilities_Resets!$U39)),IF(BN50&gt;=BP$8,IF(BN50&lt;BQ$8,(((Volatilities_Resets!$U39-Volatilities_Resets!$S39)/50)*((Calculator!BN50-Calculator!BP$8)*10000)+Volatilities_Resets!$S39)),IF(BN50&gt;=BP$7,IF(BN50&lt;BQ$7,(((Volatilities_Resets!$S39-Volatilities_Resets!$Q39)/50)*((Calculator!BN50-Calculator!BP$7)*10000)+Volatilities_Resets!$Q39)),IF(BN50&gt;=BP$6,IF(BN50&lt;BQ$6,(((Volatilities_Resets!$Q39-Volatilities_Resets!$O39)/50)*((Calculator!BN50-Calculator!BP$6)*10000)+Volatilities_Resets!$O39)),IF(BN50&gt;=BP$5,IF(BN50&lt;BQ$5,(((Volatilities_Resets!$O39-Volatilities_Resets!$M39)/50)*((Calculator!BN50-Calculator!BP$5)*10000)+Volatilities_Resets!$M39)),IF(BN50&gt;=BP$4,IF(BN50&lt;BQ$4,(((Volatilities_Resets!$M39-Volatilities_Resets!$K39)/50)*((Calculator!BN50-Calculator!BP$4)*10000)+Volatilities_Resets!$K39)),IF(BN50&gt;=BP$3,IF(BN50&lt;BQ$3,(((Volatilities_Resets!$K39-Volatilities_Resets!$I39)/50)*((Calculator!BN50-Calculator!BP$3)*10000)+Volatilities_Resets!$I39)),IF(BN50&gt;=BP$2,IF(BN50&lt;BQ$2,(((Volatilities_Resets!$I39-Volatilities_Resets!$G39)/50)*((Calculator!BN50-Calculator!BP$2)*10000)+Volatilities_Resets!$G39)),"Well, something broke...")))))))))))/10000</f>
        <v>1.7422E-2</v>
      </c>
      <c r="BQ50" s="84">
        <f t="shared" ca="1" si="35"/>
        <v>7543.2557974928286</v>
      </c>
      <c r="BR50" s="84">
        <f t="shared" ca="1" si="36"/>
        <v>3.0553397594616712E-4</v>
      </c>
      <c r="BS50" s="84">
        <f t="shared" ca="1" si="47"/>
        <v>268967.59496450535</v>
      </c>
      <c r="BT50" s="84">
        <f ca="1">SUM(BQ39:BQ50)</f>
        <v>96231.359322341188</v>
      </c>
      <c r="BU50" s="49"/>
      <c r="BV50" s="84">
        <f t="shared" ca="1" si="37"/>
        <v>85.45134524768757</v>
      </c>
      <c r="BW50" s="84">
        <f ca="1">SUM($BV$15:BV50)</f>
        <v>2533.8427233393977</v>
      </c>
      <c r="BY50" s="52">
        <f ca="1">EXP(-AVERAGE(BO$15:BO50)*BL50)</f>
        <v>0.89860247381628178</v>
      </c>
      <c r="CA50" s="75">
        <f t="shared" ca="1" si="38"/>
        <v>36</v>
      </c>
      <c r="CB50" s="76">
        <f t="shared" ca="1" si="39"/>
        <v>46076</v>
      </c>
      <c r="CC50" s="76">
        <f t="shared" ca="1" si="12"/>
        <v>46104</v>
      </c>
      <c r="CD50" s="77">
        <f t="shared" ca="1" si="13"/>
        <v>28</v>
      </c>
      <c r="CE50" s="78">
        <f ca="1">SUM(CD$15:CD50)/360</f>
        <v>3.0444444444444443</v>
      </c>
      <c r="CF50" s="79">
        <f t="shared" si="14"/>
        <v>25000000</v>
      </c>
      <c r="CG50" s="80">
        <f t="shared" si="40"/>
        <v>0.06</v>
      </c>
      <c r="CH50" s="81">
        <f>Volatilities_Resets!$E39*0.01</f>
        <v>2.8612600000000002E-2</v>
      </c>
      <c r="CI50" s="82">
        <f>IF(CG50=CJ$11,Volatilities_Resets!$AA39,IF(CG50&gt;=CI$11,IF(CG50&lt;CJ$11,(((Volatilities_Resets!$AA39-Volatilities_Resets!$Y39)/50)*((Calculator!CG50-Calculator!CI$11)*10000)+Volatilities_Resets!$Y39)),IF(CG50&gt;=CI$10,IF(CG50&lt;CJ$10,(((Volatilities_Resets!$Y39-Volatilities_Resets!$W39)/50)*((Calculator!CG50-Calculator!CI$10)*10000)+Volatilities_Resets!$W39)),IF(CG50&gt;=CI$9,IF(CG50&lt;CJ$9,(((Volatilities_Resets!$W39-Volatilities_Resets!$U39)/50)*((Calculator!CG50-Calculator!CI$9)*10000)+Volatilities_Resets!$U39)),IF(CG50&gt;=CI$8,IF(CG50&lt;CJ$8,(((Volatilities_Resets!$U39-Volatilities_Resets!$S39)/50)*((Calculator!CG50-Calculator!CI$8)*10000)+Volatilities_Resets!$S39)),IF(CG50&gt;=CI$7,IF(CG50&lt;CJ$7,(((Volatilities_Resets!$S39-Volatilities_Resets!$Q39)/50)*((Calculator!CG50-Calculator!CI$7)*10000)+Volatilities_Resets!$Q39)),IF(CG50&gt;=CI$6,IF(CG50&lt;CJ$6,(((Volatilities_Resets!$Q39-Volatilities_Resets!$O39)/50)*((Calculator!CG50-Calculator!CI$6)*10000)+Volatilities_Resets!$O39)),IF(CG50&gt;=CI$5,IF(CG50&lt;CJ$5,(((Volatilities_Resets!$O39-Volatilities_Resets!$M39)/50)*((Calculator!CG50-Calculator!CI$5)*10000)+Volatilities_Resets!$M39)),IF(CG50&gt;=CI$4,IF(CG50&lt;CJ$4,(((Volatilities_Resets!$M39-Volatilities_Resets!$K39)/50)*((Calculator!CG50-Calculator!CI$4)*10000)+Volatilities_Resets!$K39)),IF(CG50&gt;=CI$3,IF(CG50&lt;CJ$3,(((Volatilities_Resets!$K39-Volatilities_Resets!$I39)/50)*((Calculator!CG50-Calculator!CI$3)*10000)+Volatilities_Resets!$I39)),IF(CG50&gt;=CI$2,IF(CG50&lt;CJ$2,(((Volatilities_Resets!$I39-Volatilities_Resets!$G39)/50)*((Calculator!CG50-Calculator!CI$2)*10000)+Volatilities_Resets!$G39)),"Well, something broke...")))))))))))/10000</f>
        <v>1.8484E-2</v>
      </c>
      <c r="CJ50" s="84">
        <f t="shared" ca="1" si="41"/>
        <v>4939.5157440819521</v>
      </c>
      <c r="CK50" s="84">
        <f t="shared" ca="1" si="42"/>
        <v>2.0061820605315965E-4</v>
      </c>
      <c r="CL50" s="84">
        <f t="shared" ca="1" si="48"/>
        <v>128560.37123207185</v>
      </c>
      <c r="CM50" s="84">
        <f ca="1">SUM(CJ39:CJ50)</f>
        <v>60076.937465676689</v>
      </c>
      <c r="CN50" s="49"/>
      <c r="CO50" s="84">
        <f t="shared" ca="1" si="43"/>
        <v>68.239339212331558</v>
      </c>
      <c r="CP50" s="84">
        <f ca="1">SUM($CO$15:CO50)</f>
        <v>1804.1028398127985</v>
      </c>
      <c r="CR50" s="52">
        <f ca="1">EXP(-AVERAGE(CH$15:CH50)*CE50)</f>
        <v>0.89860247381628178</v>
      </c>
      <c r="CT50"/>
      <c r="CU50"/>
      <c r="CV50"/>
      <c r="CW50"/>
      <c r="CX50"/>
      <c r="CY50"/>
      <c r="CZ50"/>
      <c r="DA50"/>
      <c r="DB50"/>
      <c r="DC50"/>
      <c r="DD50"/>
      <c r="DE50"/>
      <c r="DF50"/>
      <c r="DG50"/>
      <c r="DH50"/>
      <c r="DI50"/>
      <c r="DJ50"/>
      <c r="DK50"/>
      <c r="DL50"/>
    </row>
    <row r="51" spans="2:116" ht="15.75" customHeight="1">
      <c r="B51" s="52">
        <v>4</v>
      </c>
      <c r="C51" s="52">
        <f t="shared" ref="C51:C74" ca="1" si="49">IF(D51="","",C50+1)</f>
        <v>37</v>
      </c>
      <c r="D51" s="71">
        <f t="shared" ca="1" si="16"/>
        <v>46104</v>
      </c>
      <c r="E51" s="71">
        <f t="shared" ref="E51:E74" ca="1" si="50">EDATE(D51,1)</f>
        <v>46135</v>
      </c>
      <c r="F51" s="72">
        <f t="shared" ref="F51:F74" ca="1" si="51">E51-D51</f>
        <v>31</v>
      </c>
      <c r="G51" s="73">
        <f ca="1">SUM($F$15:F51)/360</f>
        <v>3.1305555555555555</v>
      </c>
      <c r="H51" s="74">
        <f t="shared" si="2"/>
        <v>25000000</v>
      </c>
      <c r="I51" s="59">
        <f>IF('Cap Pricer'!$E$22=DataValidation!$C$2,'Cap Pricer'!$E$23,IF('Cap Pricer'!$E$22=DataValidation!$C$3,VLOOKUP($B51,'Cap Pricer'!$C$25:$E$31,3),""))</f>
        <v>0.02</v>
      </c>
      <c r="J51" s="57">
        <f>Volatilities_Resets!$E40*0.01</f>
        <v>2.8274499999999998E-2</v>
      </c>
      <c r="K51" s="61">
        <f>IF(I51=L$11,Volatilities_Resets!$AA40,IF(I51&gt;=K$11,IF(I51&lt;L$11,(((Volatilities_Resets!$AA40-Volatilities_Resets!$Y40)/50)*((Calculator!I51-Calculator!K$11)*10000)+Volatilities_Resets!$Y40)),IF(I51&gt;=K$10,IF(I51&lt;L$10,(((Volatilities_Resets!$Y40-Volatilities_Resets!$W40)/50)*((Calculator!I51-Calculator!K$10)*10000)+Volatilities_Resets!$W40)),IF(I51&gt;=K$9,IF(I51&lt;L$9,(((Volatilities_Resets!$W40-Volatilities_Resets!$U40)/50)*((Calculator!I51-Calculator!K$9)*10000)+Volatilities_Resets!$U40)),IF(I51&gt;=K$8,IF(I51&lt;L$8,(((Volatilities_Resets!$U40-Volatilities_Resets!$S40)/50)*((Calculator!I51-Calculator!K$8)*10000)+Volatilities_Resets!$S40)),IF(I51&gt;=K$7,IF(I51&lt;L$7,(((Volatilities_Resets!$S40-Volatilities_Resets!$Q40)/50)*((Calculator!I51-Calculator!K$7)*10000)+Volatilities_Resets!$Q40)),IF(I51&gt;=K$6,IF(I51&lt;L$6,(((Volatilities_Resets!$Q40-Volatilities_Resets!$O40)/50)*((Calculator!I51-Calculator!K$6)*10000)+Volatilities_Resets!$O40)),IF(I51&gt;=K$5,IF(I51&lt;L$5,(((Volatilities_Resets!$O40-Volatilities_Resets!$M40)/50)*((Calculator!I51-Calculator!K$5)*10000)+Volatilities_Resets!$M40)),IF(I51&gt;=K$4,IF(I51&lt;L$4,(((Volatilities_Resets!$M40-Volatilities_Resets!$K40)/50)*((Calculator!I51-Calculator!K$4)*10000)+Volatilities_Resets!$K40)),IF(I51&gt;=K$3,IF(I51&lt;L$3,(((Volatilities_Resets!$K40-Volatilities_Resets!$I40)/50)*((Calculator!I51-Calculator!K$3)*10000)+Volatilities_Resets!$I40)),IF(I51&gt;=K$2,IF(I51&lt;L$2,(((Volatilities_Resets!$I40-Volatilities_Resets!$G40)/50)*((Calculator!I51-Calculator!K$2)*10000)+Volatilities_Resets!$G40)),"Well, something broke...")))))))))))/10000</f>
        <v>1.3502000000000002E-2</v>
      </c>
      <c r="L51" s="47">
        <f t="shared" ca="1" si="17"/>
        <v>27468.028278603804</v>
      </c>
      <c r="M51" s="63">
        <f t="shared" ca="1" si="18"/>
        <v>1.1038547840549516E-3</v>
      </c>
      <c r="N51" s="63">
        <f t="shared" ca="1" si="44"/>
        <v>1457644.1443329651</v>
      </c>
      <c r="Q51" s="63">
        <f t="shared" ca="1" si="19"/>
        <v>115.04619526336685</v>
      </c>
      <c r="R51" s="63">
        <f ca="1">SUM($Q$15:Q51)</f>
        <v>2732.9371219924951</v>
      </c>
      <c r="T51" s="52">
        <f ca="1">EXP(-AVERAGE(J$15:J51)*G51)</f>
        <v>0.89640805299749382</v>
      </c>
      <c r="U51" s="57"/>
      <c r="V51" s="52">
        <f t="shared" ca="1" si="20"/>
        <v>37</v>
      </c>
      <c r="W51" s="71">
        <f t="shared" ca="1" si="21"/>
        <v>46104</v>
      </c>
      <c r="X51" s="71">
        <f t="shared" ca="1" si="3"/>
        <v>46135</v>
      </c>
      <c r="Y51" s="72">
        <f t="shared" ca="1" si="4"/>
        <v>31</v>
      </c>
      <c r="Z51" s="73">
        <f ca="1">SUM(Y$15:Y51)/360</f>
        <v>3.1305555555555555</v>
      </c>
      <c r="AA51" s="74">
        <f t="shared" si="22"/>
        <v>25000000</v>
      </c>
      <c r="AB51" s="59">
        <f t="shared" si="23"/>
        <v>0.03</v>
      </c>
      <c r="AC51" s="57">
        <f>Volatilities_Resets!$E40*0.01</f>
        <v>2.8274499999999998E-2</v>
      </c>
      <c r="AD51" s="61">
        <f>IF(AB51=AE$11,Volatilities_Resets!$AA40,IF(AB51&gt;=AD$11,IF(AB51&lt;AE$11,(((Volatilities_Resets!$AA40-Volatilities_Resets!$Y40)/50)*((Calculator!AB51-Calculator!AD$11)*10000)+Volatilities_Resets!$Y40)),IF(AB51&gt;=AD$10,IF(AB51&lt;AE$10,(((Volatilities_Resets!$Y40-Volatilities_Resets!$W40)/50)*((Calculator!AB51-Calculator!AD$10)*10000)+Volatilities_Resets!$W40)),IF(AB51&gt;=AD$9,IF(AB51&lt;AE$9,(((Volatilities_Resets!$W40-Volatilities_Resets!$U40)/50)*((Calculator!AB51-Calculator!AD$9)*10000)+Volatilities_Resets!$U40)),IF(AB51&gt;=AD$8,IF(AB51&lt;AE$8,(((Volatilities_Resets!$U40-Volatilities_Resets!$S40)/50)*((Calculator!AB51-Calculator!AD$8)*10000)+Volatilities_Resets!$S40)),IF(AB51&gt;=AD$7,IF(AB51&lt;AE$7,(((Volatilities_Resets!$S40-Volatilities_Resets!$Q40)/50)*((Calculator!AB51-Calculator!AD$7)*10000)+Volatilities_Resets!$Q40)),IF(AB51&gt;=AD$6,IF(AB51&lt;AE$6,(((Volatilities_Resets!$Q40-Volatilities_Resets!$O40)/50)*((Calculator!AB51-Calculator!AD$6)*10000)+Volatilities_Resets!$O40)),IF(AB51&gt;=AD$5,IF(AB51&lt;AE$5,(((Volatilities_Resets!$O40-Volatilities_Resets!$M40)/50)*((Calculator!AB51-Calculator!AD$5)*10000)+Volatilities_Resets!$M40)),IF(AB51&gt;=AD$4,IF(AB51&lt;AE$4,(((Volatilities_Resets!$M40-Volatilities_Resets!$K40)/50)*((Calculator!AB51-Calculator!AD$4)*10000)+Volatilities_Resets!$K40)),IF(AB51&gt;=AD$3,IF(AB51&lt;AE$3,(((Volatilities_Resets!$K40-Volatilities_Resets!$I40)/50)*((Calculator!AB51-Calculator!AD$3)*10000)+Volatilities_Resets!$I40)),IF(AB51&gt;=AD$2,IF(AB51&lt;AE$2,(((Volatilities_Resets!$I40-Volatilities_Resets!$G40)/50)*((Calculator!AB51-Calculator!AD$2)*10000)+Volatilities_Resets!$G40)),"Well, something broke...")))))))))))/10000</f>
        <v>1.4006999999999999E-2</v>
      </c>
      <c r="AE51" s="63">
        <f t="shared" ca="1" si="24"/>
        <v>17460.988706701726</v>
      </c>
      <c r="AF51" s="63">
        <f t="shared" ca="1" si="25"/>
        <v>7.0387506147569657E-4</v>
      </c>
      <c r="AG51" s="63">
        <f t="shared" ca="1" si="45"/>
        <v>966004.6080234719</v>
      </c>
      <c r="AJ51" s="63">
        <f t="shared" ca="1" si="26"/>
        <v>121.81094528728754</v>
      </c>
      <c r="AK51" s="63">
        <f ca="1">SUM($AJ$15:AJ51)</f>
        <v>3056.9742128845273</v>
      </c>
      <c r="AM51" s="52">
        <f ca="1">EXP(-AVERAGE(AC$15:AC51)*Z51)</f>
        <v>0.89640805299749382</v>
      </c>
      <c r="AO51" s="52">
        <f t="shared" ca="1" si="27"/>
        <v>37</v>
      </c>
      <c r="AP51" s="71">
        <f t="shared" ca="1" si="28"/>
        <v>46104</v>
      </c>
      <c r="AQ51" s="71">
        <f t="shared" ca="1" si="5"/>
        <v>46135</v>
      </c>
      <c r="AR51" s="72">
        <f t="shared" ca="1" si="6"/>
        <v>31</v>
      </c>
      <c r="AS51" s="73">
        <f ca="1">SUM(AR$15:AR51)/360</f>
        <v>3.1305555555555555</v>
      </c>
      <c r="AT51" s="74">
        <f t="shared" si="7"/>
        <v>25000000</v>
      </c>
      <c r="AU51" s="59">
        <f t="shared" si="29"/>
        <v>0.04</v>
      </c>
      <c r="AV51" s="57">
        <f>Volatilities_Resets!$E40*0.01</f>
        <v>2.8274499999999998E-2</v>
      </c>
      <c r="AW51" s="61">
        <f>IF(AU51=AX$11,Volatilities_Resets!$AA40,IF(AU51&gt;=AW$11,IF(AU51&lt;AX$11,(((Volatilities_Resets!$AA40-Volatilities_Resets!$Y40)/50)*((Calculator!AU51-Calculator!AW$11)*10000)+Volatilities_Resets!$Y40)),IF(AU51&gt;=AW$10,IF(AU51&lt;AX$10,(((Volatilities_Resets!$Y40-Volatilities_Resets!$W40)/50)*((Calculator!AU51-Calculator!AW$10)*10000)+Volatilities_Resets!$W40)),IF(AU51&gt;=AW$9,IF(AU51&lt;AX$9,(((Volatilities_Resets!$W40-Volatilities_Resets!$U40)/50)*((Calculator!AU51-Calculator!AW$9)*10000)+Volatilities_Resets!$U40)),IF(AU51&gt;=AW$8,IF(AU51&lt;AX$8,(((Volatilities_Resets!$U40-Volatilities_Resets!$S40)/50)*((Calculator!AU51-Calculator!AW$8)*10000)+Volatilities_Resets!$S40)),IF(AU51&gt;=AW$7,IF(AU51&lt;AX$7,(((Volatilities_Resets!$S40-Volatilities_Resets!$Q40)/50)*((Calculator!AU51-Calculator!AW$7)*10000)+Volatilities_Resets!$Q40)),IF(AU51&gt;=AW$6,IF(AU51&lt;AX$6,(((Volatilities_Resets!$Q40-Volatilities_Resets!$O40)/50)*((Calculator!AU51-Calculator!AW$6)*10000)+Volatilities_Resets!$O40)),IF(AU51&gt;=AW$5,IF(AU51&lt;AX$5,(((Volatilities_Resets!$O40-Volatilities_Resets!$M40)/50)*((Calculator!AU51-Calculator!AW$5)*10000)+Volatilities_Resets!$M40)),IF(AU51&gt;=AW$4,IF(AU51&lt;AX$4,(((Volatilities_Resets!$M40-Volatilities_Resets!$K40)/50)*((Calculator!AU51-Calculator!AW$4)*10000)+Volatilities_Resets!$K40)),IF(AU51&gt;=AW$3,IF(AU51&lt;AX$3,(((Volatilities_Resets!$K40-Volatilities_Resets!$I40)/50)*((Calculator!AU51-Calculator!AW$3)*10000)+Volatilities_Resets!$I40)),IF(AU51&gt;=AW$2,IF(AU51&lt;AX$2,(((Volatilities_Resets!$I40-Volatilities_Resets!$G40)/50)*((Calculator!AU51-Calculator!AW$2)*10000)+Volatilities_Resets!$G40)),"Well, something broke...")))))))))))/10000</f>
        <v>1.5022000000000001E-2</v>
      </c>
      <c r="AX51" s="63">
        <f t="shared" ca="1" si="30"/>
        <v>11108.009783520376</v>
      </c>
      <c r="AY51" s="63">
        <f t="shared" ca="1" si="31"/>
        <v>4.4926696155592985E-4</v>
      </c>
      <c r="AZ51" s="63">
        <f t="shared" ca="1" si="46"/>
        <v>568028.4145784264</v>
      </c>
      <c r="BC51" s="63">
        <f t="shared" ca="1" si="8"/>
        <v>110.85363438866115</v>
      </c>
      <c r="BD51" s="63">
        <f ca="1">SUM($BC$15:BC51)</f>
        <v>3039.942704333198</v>
      </c>
      <c r="BF51" s="52">
        <f ca="1">EXP(-AVERAGE(AV$15:AV51)*AS51)</f>
        <v>0.89640805299749382</v>
      </c>
      <c r="BH51" s="52">
        <f t="shared" ca="1" si="32"/>
        <v>37</v>
      </c>
      <c r="BI51" s="71">
        <f t="shared" ca="1" si="33"/>
        <v>46104</v>
      </c>
      <c r="BJ51" s="71">
        <f t="shared" ca="1" si="9"/>
        <v>46135</v>
      </c>
      <c r="BK51" s="72">
        <f t="shared" ca="1" si="10"/>
        <v>31</v>
      </c>
      <c r="BL51" s="73">
        <f ca="1">SUM(BK$15:BK51)/360</f>
        <v>3.1305555555555555</v>
      </c>
      <c r="BM51" s="74">
        <f t="shared" si="11"/>
        <v>25000000</v>
      </c>
      <c r="BN51" s="59">
        <f t="shared" si="34"/>
        <v>0.05</v>
      </c>
      <c r="BO51" s="57">
        <f>Volatilities_Resets!$E40*0.01</f>
        <v>2.8274499999999998E-2</v>
      </c>
      <c r="BP51" s="61">
        <f>IF(BN51=BQ$11,Volatilities_Resets!$AA40,IF(BN51&gt;=BP$11,IF(BN51&lt;BQ$11,(((Volatilities_Resets!$AA40-Volatilities_Resets!$Y40)/50)*((Calculator!BN51-Calculator!BP$11)*10000)+Volatilities_Resets!$Y40)),IF(BN51&gt;=BP$10,IF(BN51&lt;BQ$10,(((Volatilities_Resets!$Y40-Volatilities_Resets!$W40)/50)*((Calculator!BN51-Calculator!BP$10)*10000)+Volatilities_Resets!$W40)),IF(BN51&gt;=BP$9,IF(BN51&lt;BQ$9,(((Volatilities_Resets!$W40-Volatilities_Resets!$U40)/50)*((Calculator!BN51-Calculator!BP$9)*10000)+Volatilities_Resets!$U40)),IF(BN51&gt;=BP$8,IF(BN51&lt;BQ$8,(((Volatilities_Resets!$U40-Volatilities_Resets!$S40)/50)*((Calculator!BN51-Calculator!BP$8)*10000)+Volatilities_Resets!$S40)),IF(BN51&gt;=BP$7,IF(BN51&lt;BQ$7,(((Volatilities_Resets!$S40-Volatilities_Resets!$Q40)/50)*((Calculator!BN51-Calculator!BP$7)*10000)+Volatilities_Resets!$Q40)),IF(BN51&gt;=BP$6,IF(BN51&lt;BQ$6,(((Volatilities_Resets!$Q40-Volatilities_Resets!$O40)/50)*((Calculator!BN51-Calculator!BP$6)*10000)+Volatilities_Resets!$O40)),IF(BN51&gt;=BP$5,IF(BN51&lt;BQ$5,(((Volatilities_Resets!$O40-Volatilities_Resets!$M40)/50)*((Calculator!BN51-Calculator!BP$5)*10000)+Volatilities_Resets!$M40)),IF(BN51&gt;=BP$4,IF(BN51&lt;BQ$4,(((Volatilities_Resets!$M40-Volatilities_Resets!$K40)/50)*((Calculator!BN51-Calculator!BP$4)*10000)+Volatilities_Resets!$K40)),IF(BN51&gt;=BP$3,IF(BN51&lt;BQ$3,(((Volatilities_Resets!$K40-Volatilities_Resets!$I40)/50)*((Calculator!BN51-Calculator!BP$3)*10000)+Volatilities_Resets!$I40)),IF(BN51&gt;=BP$2,IF(BN51&lt;BQ$2,(((Volatilities_Resets!$I40-Volatilities_Resets!$G40)/50)*((Calculator!BN51-Calculator!BP$2)*10000)+Volatilities_Resets!$G40)),"Well, something broke...")))))))))))/10000</f>
        <v>1.6393000000000001E-2</v>
      </c>
      <c r="BQ51" s="63">
        <f t="shared" ca="1" si="35"/>
        <v>7354.0111727396752</v>
      </c>
      <c r="BR51" s="63">
        <f t="shared" ca="1" si="36"/>
        <v>2.9828326551981142E-4</v>
      </c>
      <c r="BS51" s="63">
        <f t="shared" ca="1" si="47"/>
        <v>276321.60613724502</v>
      </c>
      <c r="BV51" s="63">
        <f t="shared" ca="1" si="37"/>
        <v>92.393195081327917</v>
      </c>
      <c r="BW51" s="63">
        <f ca="1">SUM($BV$15:BV51)</f>
        <v>2626.2359184207257</v>
      </c>
      <c r="BY51" s="52">
        <f ca="1">EXP(-AVERAGE(BO$15:BO51)*BL51)</f>
        <v>0.89640805299749382</v>
      </c>
      <c r="CA51" s="52">
        <f t="shared" ca="1" si="38"/>
        <v>37</v>
      </c>
      <c r="CB51" s="71">
        <f t="shared" ca="1" si="39"/>
        <v>46104</v>
      </c>
      <c r="CC51" s="71">
        <f t="shared" ca="1" si="12"/>
        <v>46135</v>
      </c>
      <c r="CD51" s="72">
        <f t="shared" ca="1" si="13"/>
        <v>31</v>
      </c>
      <c r="CE51" s="73">
        <f ca="1">SUM(CD$15:CD51)/360</f>
        <v>3.1305555555555555</v>
      </c>
      <c r="CF51" s="74">
        <f t="shared" si="14"/>
        <v>25000000</v>
      </c>
      <c r="CG51" s="59">
        <f t="shared" si="40"/>
        <v>0.06</v>
      </c>
      <c r="CH51" s="57">
        <f>Volatilities_Resets!$E40*0.01</f>
        <v>2.8274499999999998E-2</v>
      </c>
      <c r="CI51" s="61">
        <f>IF(CG51=CJ$11,Volatilities_Resets!$AA40,IF(CG51&gt;=CI$11,IF(CG51&lt;CJ$11,(((Volatilities_Resets!$AA40-Volatilities_Resets!$Y40)/50)*((Calculator!CG51-Calculator!CI$11)*10000)+Volatilities_Resets!$Y40)),IF(CG51&gt;=CI$10,IF(CG51&lt;CJ$10,(((Volatilities_Resets!$Y40-Volatilities_Resets!$W40)/50)*((Calculator!CG51-Calculator!CI$10)*10000)+Volatilities_Resets!$W40)),IF(CG51&gt;=CI$9,IF(CG51&lt;CJ$9,(((Volatilities_Resets!$W40-Volatilities_Resets!$U40)/50)*((Calculator!CG51-Calculator!CI$9)*10000)+Volatilities_Resets!$U40)),IF(CG51&gt;=CI$8,IF(CG51&lt;CJ$8,(((Volatilities_Resets!$U40-Volatilities_Resets!$S40)/50)*((Calculator!CG51-Calculator!CI$8)*10000)+Volatilities_Resets!$S40)),IF(CG51&gt;=CI$7,IF(CG51&lt;CJ$7,(((Volatilities_Resets!$S40-Volatilities_Resets!$Q40)/50)*((Calculator!CG51-Calculator!CI$7)*10000)+Volatilities_Resets!$Q40)),IF(CG51&gt;=CI$6,IF(CG51&lt;CJ$6,(((Volatilities_Resets!$Q40-Volatilities_Resets!$O40)/50)*((Calculator!CG51-Calculator!CI$6)*10000)+Volatilities_Resets!$O40)),IF(CG51&gt;=CI$5,IF(CG51&lt;CJ$5,(((Volatilities_Resets!$O40-Volatilities_Resets!$M40)/50)*((Calculator!CG51-Calculator!CI$5)*10000)+Volatilities_Resets!$M40)),IF(CG51&gt;=CI$4,IF(CG51&lt;CJ$4,(((Volatilities_Resets!$M40-Volatilities_Resets!$K40)/50)*((Calculator!CG51-Calculator!CI$4)*10000)+Volatilities_Resets!$K40)),IF(CG51&gt;=CI$3,IF(CG51&lt;CJ$3,(((Volatilities_Resets!$K40-Volatilities_Resets!$I40)/50)*((Calculator!CG51-Calculator!CI$3)*10000)+Volatilities_Resets!$I40)),IF(CG51&gt;=CI$2,IF(CG51&lt;CJ$2,(((Volatilities_Resets!$I40-Volatilities_Resets!$G40)/50)*((Calculator!CG51-Calculator!CI$2)*10000)+Volatilities_Resets!$G40)),"Well, something broke...")))))))))))/10000</f>
        <v>1.7956E-2</v>
      </c>
      <c r="CJ51" s="63">
        <f t="shared" ca="1" si="41"/>
        <v>5121.7085874125632</v>
      </c>
      <c r="CK51" s="63">
        <f t="shared" ca="1" si="42"/>
        <v>2.0818690017921279E-4</v>
      </c>
      <c r="CL51" s="63">
        <f t="shared" ca="1" si="48"/>
        <v>133682.07981948441</v>
      </c>
      <c r="CO51" s="63">
        <f t="shared" ca="1" si="43"/>
        <v>74.369523367752876</v>
      </c>
      <c r="CP51" s="63">
        <f ca="1">SUM($CO$15:CO51)</f>
        <v>1878.4723631805514</v>
      </c>
      <c r="CR51" s="52">
        <f ca="1">EXP(-AVERAGE(CH$15:CH51)*CE51)</f>
        <v>0.89640805299749382</v>
      </c>
      <c r="CT51"/>
      <c r="CU51"/>
      <c r="CV51"/>
      <c r="CW51"/>
      <c r="CX51"/>
      <c r="CY51"/>
      <c r="CZ51"/>
      <c r="DA51"/>
      <c r="DB51"/>
      <c r="DC51"/>
      <c r="DD51"/>
      <c r="DE51"/>
      <c r="DF51"/>
      <c r="DG51"/>
      <c r="DH51"/>
      <c r="DI51"/>
      <c r="DJ51"/>
      <c r="DK51"/>
      <c r="DL51"/>
    </row>
    <row r="52" spans="2:116" ht="15.75" customHeight="1">
      <c r="B52" s="52">
        <v>4</v>
      </c>
      <c r="C52" s="52">
        <f t="shared" ca="1" si="49"/>
        <v>38</v>
      </c>
      <c r="D52" s="71">
        <f t="shared" ca="1" si="16"/>
        <v>46135</v>
      </c>
      <c r="E52" s="71">
        <f t="shared" ca="1" si="50"/>
        <v>46165</v>
      </c>
      <c r="F52" s="72">
        <f t="shared" ca="1" si="51"/>
        <v>30</v>
      </c>
      <c r="G52" s="73">
        <f ca="1">SUM($F$15:F52)/360</f>
        <v>3.213888888888889</v>
      </c>
      <c r="H52" s="74">
        <f t="shared" si="2"/>
        <v>25000000</v>
      </c>
      <c r="I52" s="59">
        <f>IF('Cap Pricer'!$E$22=DataValidation!$C$2,'Cap Pricer'!$E$23,IF('Cap Pricer'!$E$22=DataValidation!$C$3,VLOOKUP($B52,'Cap Pricer'!$C$25:$E$31,3),""))</f>
        <v>0.02</v>
      </c>
      <c r="J52" s="57">
        <f>Volatilities_Resets!$E41*0.01</f>
        <v>2.8194799999999999E-2</v>
      </c>
      <c r="K52" s="61">
        <f>IF(I52=L$11,Volatilities_Resets!$AA41,IF(I52&gt;=K$11,IF(I52&lt;L$11,(((Volatilities_Resets!$AA41-Volatilities_Resets!$Y41)/50)*((Calculator!I52-Calculator!K$11)*10000)+Volatilities_Resets!$Y41)),IF(I52&gt;=K$10,IF(I52&lt;L$10,(((Volatilities_Resets!$Y41-Volatilities_Resets!$W41)/50)*((Calculator!I52-Calculator!K$10)*10000)+Volatilities_Resets!$W41)),IF(I52&gt;=K$9,IF(I52&lt;L$9,(((Volatilities_Resets!$W41-Volatilities_Resets!$U41)/50)*((Calculator!I52-Calculator!K$9)*10000)+Volatilities_Resets!$U41)),IF(I52&gt;=K$8,IF(I52&lt;L$8,(((Volatilities_Resets!$U41-Volatilities_Resets!$S41)/50)*((Calculator!I52-Calculator!K$8)*10000)+Volatilities_Resets!$S41)),IF(I52&gt;=K$7,IF(I52&lt;L$7,(((Volatilities_Resets!$S41-Volatilities_Resets!$Q41)/50)*((Calculator!I52-Calculator!K$7)*10000)+Volatilities_Resets!$Q41)),IF(I52&gt;=K$6,IF(I52&lt;L$6,(((Volatilities_Resets!$Q41-Volatilities_Resets!$O41)/50)*((Calculator!I52-Calculator!K$6)*10000)+Volatilities_Resets!$O41)),IF(I52&gt;=K$5,IF(I52&lt;L$5,(((Volatilities_Resets!$O41-Volatilities_Resets!$M41)/50)*((Calculator!I52-Calculator!K$5)*10000)+Volatilities_Resets!$M41)),IF(I52&gt;=K$4,IF(I52&lt;L$4,(((Volatilities_Resets!$M41-Volatilities_Resets!$K41)/50)*((Calculator!I52-Calculator!K$4)*10000)+Volatilities_Resets!$K41)),IF(I52&gt;=K$3,IF(I52&lt;L$3,(((Volatilities_Resets!$K41-Volatilities_Resets!$I41)/50)*((Calculator!I52-Calculator!K$3)*10000)+Volatilities_Resets!$I41)),IF(I52&gt;=K$2,IF(I52&lt;L$2,(((Volatilities_Resets!$I41-Volatilities_Resets!$G41)/50)*((Calculator!I52-Calculator!K$2)*10000)+Volatilities_Resets!$G41)),"Well, something broke...")))))))))))/10000</f>
        <v>1.3502000000000002E-2</v>
      </c>
      <c r="L52" s="47">
        <f t="shared" ca="1" si="17"/>
        <v>26647.074183320492</v>
      </c>
      <c r="M52" s="63">
        <f t="shared" ca="1" si="18"/>
        <v>1.0709182913503047E-3</v>
      </c>
      <c r="N52" s="63">
        <f t="shared" ca="1" si="44"/>
        <v>1484291.2185162855</v>
      </c>
      <c r="Q52" s="63">
        <f t="shared" ca="1" si="19"/>
        <v>112.57874759303536</v>
      </c>
      <c r="R52" s="63">
        <f ca="1">SUM($Q$15:Q52)</f>
        <v>2845.5158695855307</v>
      </c>
      <c r="T52" s="52">
        <f ca="1">EXP(-AVERAGE(J$15:J52)*G52)</f>
        <v>0.89431184330629176</v>
      </c>
      <c r="U52" s="57"/>
      <c r="V52" s="52">
        <f t="shared" ca="1" si="20"/>
        <v>38</v>
      </c>
      <c r="W52" s="71">
        <f t="shared" ca="1" si="21"/>
        <v>46135</v>
      </c>
      <c r="X52" s="71">
        <f t="shared" ca="1" si="3"/>
        <v>46165</v>
      </c>
      <c r="Y52" s="72">
        <f t="shared" ca="1" si="4"/>
        <v>30</v>
      </c>
      <c r="Z52" s="73">
        <f ca="1">SUM(Y$15:Y52)/360</f>
        <v>3.213888888888889</v>
      </c>
      <c r="AA52" s="74">
        <f t="shared" si="22"/>
        <v>25000000</v>
      </c>
      <c r="AB52" s="59">
        <f t="shared" si="23"/>
        <v>0.03</v>
      </c>
      <c r="AC52" s="57">
        <f>Volatilities_Resets!$E41*0.01</f>
        <v>2.8194799999999999E-2</v>
      </c>
      <c r="AD52" s="61">
        <f>IF(AB52=AE$11,Volatilities_Resets!$AA41,IF(AB52&gt;=AD$11,IF(AB52&lt;AE$11,(((Volatilities_Resets!$AA41-Volatilities_Resets!$Y41)/50)*((Calculator!AB52-Calculator!AD$11)*10000)+Volatilities_Resets!$Y41)),IF(AB52&gt;=AD$10,IF(AB52&lt;AE$10,(((Volatilities_Resets!$Y41-Volatilities_Resets!$W41)/50)*((Calculator!AB52-Calculator!AD$10)*10000)+Volatilities_Resets!$W41)),IF(AB52&gt;=AD$9,IF(AB52&lt;AE$9,(((Volatilities_Resets!$W41-Volatilities_Resets!$U41)/50)*((Calculator!AB52-Calculator!AD$9)*10000)+Volatilities_Resets!$U41)),IF(AB52&gt;=AD$8,IF(AB52&lt;AE$8,(((Volatilities_Resets!$U41-Volatilities_Resets!$S41)/50)*((Calculator!AB52-Calculator!AD$8)*10000)+Volatilities_Resets!$S41)),IF(AB52&gt;=AD$7,IF(AB52&lt;AE$7,(((Volatilities_Resets!$S41-Volatilities_Resets!$Q41)/50)*((Calculator!AB52-Calculator!AD$7)*10000)+Volatilities_Resets!$Q41)),IF(AB52&gt;=AD$6,IF(AB52&lt;AE$6,(((Volatilities_Resets!$Q41-Volatilities_Resets!$O41)/50)*((Calculator!AB52-Calculator!AD$6)*10000)+Volatilities_Resets!$O41)),IF(AB52&gt;=AD$5,IF(AB52&lt;AE$5,(((Volatilities_Resets!$O41-Volatilities_Resets!$M41)/50)*((Calculator!AB52-Calculator!AD$5)*10000)+Volatilities_Resets!$M41)),IF(AB52&gt;=AD$4,IF(AB52&lt;AE$4,(((Volatilities_Resets!$M41-Volatilities_Resets!$K41)/50)*((Calculator!AB52-Calculator!AD$4)*10000)+Volatilities_Resets!$K41)),IF(AB52&gt;=AD$3,IF(AB52&lt;AE$3,(((Volatilities_Resets!$K41-Volatilities_Resets!$I41)/50)*((Calculator!AB52-Calculator!AD$3)*10000)+Volatilities_Resets!$I41)),IF(AB52&gt;=AD$2,IF(AB52&lt;AE$2,(((Volatilities_Resets!$I41-Volatilities_Resets!$G41)/50)*((Calculator!AB52-Calculator!AD$2)*10000)+Volatilities_Resets!$G41)),"Well, something broke...")))))))))))/10000</f>
        <v>1.4006999999999999E-2</v>
      </c>
      <c r="AE52" s="63">
        <f t="shared" ca="1" si="24"/>
        <v>17031.116718320496</v>
      </c>
      <c r="AF52" s="63">
        <f t="shared" ca="1" si="25"/>
        <v>6.8656108466802284E-4</v>
      </c>
      <c r="AG52" s="63">
        <f t="shared" ca="1" si="45"/>
        <v>983035.72474179242</v>
      </c>
      <c r="AJ52" s="63">
        <f t="shared" ca="1" si="26"/>
        <v>118.86334336985729</v>
      </c>
      <c r="AK52" s="63">
        <f ca="1">SUM($AJ$15:AJ52)</f>
        <v>3175.8375562543847</v>
      </c>
      <c r="AM52" s="52">
        <f ca="1">EXP(-AVERAGE(AC$15:AC52)*Z52)</f>
        <v>0.89431184330629176</v>
      </c>
      <c r="AO52" s="52">
        <f t="shared" ca="1" si="27"/>
        <v>38</v>
      </c>
      <c r="AP52" s="71">
        <f t="shared" ca="1" si="28"/>
        <v>46135</v>
      </c>
      <c r="AQ52" s="71">
        <f t="shared" ca="1" si="5"/>
        <v>46165</v>
      </c>
      <c r="AR52" s="72">
        <f t="shared" ca="1" si="6"/>
        <v>30</v>
      </c>
      <c r="AS52" s="73">
        <f ca="1">SUM(AR$15:AR52)/360</f>
        <v>3.213888888888889</v>
      </c>
      <c r="AT52" s="74">
        <f t="shared" si="7"/>
        <v>25000000</v>
      </c>
      <c r="AU52" s="59">
        <f t="shared" si="29"/>
        <v>0.04</v>
      </c>
      <c r="AV52" s="57">
        <f>Volatilities_Resets!$E41*0.01</f>
        <v>2.8194799999999999E-2</v>
      </c>
      <c r="AW52" s="61">
        <f>IF(AU52=AX$11,Volatilities_Resets!$AA41,IF(AU52&gt;=AW$11,IF(AU52&lt;AX$11,(((Volatilities_Resets!$AA41-Volatilities_Resets!$Y41)/50)*((Calculator!AU52-Calculator!AW$11)*10000)+Volatilities_Resets!$Y41)),IF(AU52&gt;=AW$10,IF(AU52&lt;AX$10,(((Volatilities_Resets!$Y41-Volatilities_Resets!$W41)/50)*((Calculator!AU52-Calculator!AW$10)*10000)+Volatilities_Resets!$W41)),IF(AU52&gt;=AW$9,IF(AU52&lt;AX$9,(((Volatilities_Resets!$W41-Volatilities_Resets!$U41)/50)*((Calculator!AU52-Calculator!AW$9)*10000)+Volatilities_Resets!$U41)),IF(AU52&gt;=AW$8,IF(AU52&lt;AX$8,(((Volatilities_Resets!$U41-Volatilities_Resets!$S41)/50)*((Calculator!AU52-Calculator!AW$8)*10000)+Volatilities_Resets!$S41)),IF(AU52&gt;=AW$7,IF(AU52&lt;AX$7,(((Volatilities_Resets!$S41-Volatilities_Resets!$Q41)/50)*((Calculator!AU52-Calculator!AW$7)*10000)+Volatilities_Resets!$Q41)),IF(AU52&gt;=AW$6,IF(AU52&lt;AX$6,(((Volatilities_Resets!$Q41-Volatilities_Resets!$O41)/50)*((Calculator!AU52-Calculator!AW$6)*10000)+Volatilities_Resets!$O41)),IF(AU52&gt;=AW$5,IF(AU52&lt;AX$5,(((Volatilities_Resets!$O41-Volatilities_Resets!$M41)/50)*((Calculator!AU52-Calculator!AW$5)*10000)+Volatilities_Resets!$M41)),IF(AU52&gt;=AW$4,IF(AU52&lt;AX$4,(((Volatilities_Resets!$M41-Volatilities_Resets!$K41)/50)*((Calculator!AU52-Calculator!AW$4)*10000)+Volatilities_Resets!$K41)),IF(AU52&gt;=AW$3,IF(AU52&lt;AX$3,(((Volatilities_Resets!$K41-Volatilities_Resets!$I41)/50)*((Calculator!AU52-Calculator!AW$3)*10000)+Volatilities_Resets!$I41)),IF(AU52&gt;=AW$2,IF(AU52&lt;AX$2,(((Volatilities_Resets!$I41-Volatilities_Resets!$G41)/50)*((Calculator!AU52-Calculator!AW$2)*10000)+Volatilities_Resets!$G41)),"Well, something broke...")))))))))))/10000</f>
        <v>1.5022000000000001E-2</v>
      </c>
      <c r="AX52" s="63">
        <f t="shared" ca="1" si="30"/>
        <v>10912.680392897757</v>
      </c>
      <c r="AY52" s="63">
        <f t="shared" ca="1" si="31"/>
        <v>4.4135208915244259E-4</v>
      </c>
      <c r="AZ52" s="63">
        <f t="shared" ca="1" si="46"/>
        <v>578941.0949713242</v>
      </c>
      <c r="BC52" s="63">
        <f t="shared" ca="1" si="8"/>
        <v>108.32069234027219</v>
      </c>
      <c r="BD52" s="63">
        <f ca="1">SUM($BC$15:BC52)</f>
        <v>3148.2633966734702</v>
      </c>
      <c r="BF52" s="52">
        <f ca="1">EXP(-AVERAGE(AV$15:AV52)*AS52)</f>
        <v>0.89431184330629176</v>
      </c>
      <c r="BH52" s="52">
        <f t="shared" ca="1" si="32"/>
        <v>38</v>
      </c>
      <c r="BI52" s="71">
        <f t="shared" ca="1" si="33"/>
        <v>46135</v>
      </c>
      <c r="BJ52" s="71">
        <f t="shared" ca="1" si="9"/>
        <v>46165</v>
      </c>
      <c r="BK52" s="72">
        <f t="shared" ca="1" si="10"/>
        <v>30</v>
      </c>
      <c r="BL52" s="73">
        <f ca="1">SUM(BK$15:BK52)/360</f>
        <v>3.213888888888889</v>
      </c>
      <c r="BM52" s="74">
        <f t="shared" si="11"/>
        <v>25000000</v>
      </c>
      <c r="BN52" s="59">
        <f t="shared" si="34"/>
        <v>0.05</v>
      </c>
      <c r="BO52" s="57">
        <f>Volatilities_Resets!$E41*0.01</f>
        <v>2.8194799999999999E-2</v>
      </c>
      <c r="BP52" s="61">
        <f>IF(BN52=BQ$11,Volatilities_Resets!$AA41,IF(BN52&gt;=BP$11,IF(BN52&lt;BQ$11,(((Volatilities_Resets!$AA41-Volatilities_Resets!$Y41)/50)*((Calculator!BN52-Calculator!BP$11)*10000)+Volatilities_Resets!$Y41)),IF(BN52&gt;=BP$10,IF(BN52&lt;BQ$10,(((Volatilities_Resets!$Y41-Volatilities_Resets!$W41)/50)*((Calculator!BN52-Calculator!BP$10)*10000)+Volatilities_Resets!$W41)),IF(BN52&gt;=BP$9,IF(BN52&lt;BQ$9,(((Volatilities_Resets!$W41-Volatilities_Resets!$U41)/50)*((Calculator!BN52-Calculator!BP$9)*10000)+Volatilities_Resets!$U41)),IF(BN52&gt;=BP$8,IF(BN52&lt;BQ$8,(((Volatilities_Resets!$U41-Volatilities_Resets!$S41)/50)*((Calculator!BN52-Calculator!BP$8)*10000)+Volatilities_Resets!$S41)),IF(BN52&gt;=BP$7,IF(BN52&lt;BQ$7,(((Volatilities_Resets!$S41-Volatilities_Resets!$Q41)/50)*((Calculator!BN52-Calculator!BP$7)*10000)+Volatilities_Resets!$Q41)),IF(BN52&gt;=BP$6,IF(BN52&lt;BQ$6,(((Volatilities_Resets!$Q41-Volatilities_Resets!$O41)/50)*((Calculator!BN52-Calculator!BP$6)*10000)+Volatilities_Resets!$O41)),IF(BN52&gt;=BP$5,IF(BN52&lt;BQ$5,(((Volatilities_Resets!$O41-Volatilities_Resets!$M41)/50)*((Calculator!BN52-Calculator!BP$5)*10000)+Volatilities_Resets!$M41)),IF(BN52&gt;=BP$4,IF(BN52&lt;BQ$4,(((Volatilities_Resets!$M41-Volatilities_Resets!$K41)/50)*((Calculator!BN52-Calculator!BP$4)*10000)+Volatilities_Resets!$K41)),IF(BN52&gt;=BP$3,IF(BN52&lt;BQ$3,(((Volatilities_Resets!$K41-Volatilities_Resets!$I41)/50)*((Calculator!BN52-Calculator!BP$3)*10000)+Volatilities_Resets!$I41)),IF(BN52&gt;=BP$2,IF(BN52&lt;BQ$2,(((Volatilities_Resets!$I41-Volatilities_Resets!$G41)/50)*((Calculator!BN52-Calculator!BP$2)*10000)+Volatilities_Resets!$G41)),"Well, something broke...")))))))))))/10000</f>
        <v>1.6392E-2</v>
      </c>
      <c r="BQ52" s="63">
        <f t="shared" ca="1" si="35"/>
        <v>7281.1761009798247</v>
      </c>
      <c r="BR52" s="63">
        <f t="shared" ca="1" si="36"/>
        <v>2.9530119655786361E-4</v>
      </c>
      <c r="BS52" s="63">
        <f t="shared" ca="1" si="47"/>
        <v>283602.78223822487</v>
      </c>
      <c r="BV52" s="63">
        <f t="shared" ca="1" si="37"/>
        <v>90.641915300429289</v>
      </c>
      <c r="BW52" s="63">
        <f ca="1">SUM($BV$15:BV52)</f>
        <v>2716.8778337211552</v>
      </c>
      <c r="BY52" s="52">
        <f ca="1">EXP(-AVERAGE(BO$15:BO52)*BL52)</f>
        <v>0.89431184330629176</v>
      </c>
      <c r="CA52" s="52">
        <f t="shared" ca="1" si="38"/>
        <v>38</v>
      </c>
      <c r="CB52" s="71">
        <f t="shared" ca="1" si="39"/>
        <v>46135</v>
      </c>
      <c r="CC52" s="71">
        <f t="shared" ca="1" si="12"/>
        <v>46165</v>
      </c>
      <c r="CD52" s="72">
        <f t="shared" ca="1" si="13"/>
        <v>30</v>
      </c>
      <c r="CE52" s="73">
        <f ca="1">SUM(CD$15:CD52)/360</f>
        <v>3.213888888888889</v>
      </c>
      <c r="CF52" s="74">
        <f t="shared" si="14"/>
        <v>25000000</v>
      </c>
      <c r="CG52" s="59">
        <f t="shared" si="40"/>
        <v>0.06</v>
      </c>
      <c r="CH52" s="57">
        <f>Volatilities_Resets!$E41*0.01</f>
        <v>2.8194799999999999E-2</v>
      </c>
      <c r="CI52" s="61">
        <f>IF(CG52=CJ$11,Volatilities_Resets!$AA41,IF(CG52&gt;=CI$11,IF(CG52&lt;CJ$11,(((Volatilities_Resets!$AA41-Volatilities_Resets!$Y41)/50)*((Calculator!CG52-Calculator!CI$11)*10000)+Volatilities_Resets!$Y41)),IF(CG52&gt;=CI$10,IF(CG52&lt;CJ$10,(((Volatilities_Resets!$Y41-Volatilities_Resets!$W41)/50)*((Calculator!CG52-Calculator!CI$10)*10000)+Volatilities_Resets!$W41)),IF(CG52&gt;=CI$9,IF(CG52&lt;CJ$9,(((Volatilities_Resets!$W41-Volatilities_Resets!$U41)/50)*((Calculator!CG52-Calculator!CI$9)*10000)+Volatilities_Resets!$U41)),IF(CG52&gt;=CI$8,IF(CG52&lt;CJ$8,(((Volatilities_Resets!$U41-Volatilities_Resets!$S41)/50)*((Calculator!CG52-Calculator!CI$8)*10000)+Volatilities_Resets!$S41)),IF(CG52&gt;=CI$7,IF(CG52&lt;CJ$7,(((Volatilities_Resets!$S41-Volatilities_Resets!$Q41)/50)*((Calculator!CG52-Calculator!CI$7)*10000)+Volatilities_Resets!$Q41)),IF(CG52&gt;=CI$6,IF(CG52&lt;CJ$6,(((Volatilities_Resets!$Q41-Volatilities_Resets!$O41)/50)*((Calculator!CG52-Calculator!CI$6)*10000)+Volatilities_Resets!$O41)),IF(CG52&gt;=CI$5,IF(CG52&lt;CJ$5,(((Volatilities_Resets!$O41-Volatilities_Resets!$M41)/50)*((Calculator!CG52-Calculator!CI$5)*10000)+Volatilities_Resets!$M41)),IF(CG52&gt;=CI$4,IF(CG52&lt;CJ$4,(((Volatilities_Resets!$M41-Volatilities_Resets!$K41)/50)*((Calculator!CG52-Calculator!CI$4)*10000)+Volatilities_Resets!$K41)),IF(CG52&gt;=CI$3,IF(CG52&lt;CJ$3,(((Volatilities_Resets!$K41-Volatilities_Resets!$I41)/50)*((Calculator!CG52-Calculator!CI$3)*10000)+Volatilities_Resets!$I41)),IF(CG52&gt;=CI$2,IF(CG52&lt;CJ$2,(((Volatilities_Resets!$I41-Volatilities_Resets!$G41)/50)*((Calculator!CG52-Calculator!CI$2)*10000)+Volatilities_Resets!$G41)),"Well, something broke...")))))))))))/10000</f>
        <v>1.7955000000000002E-2</v>
      </c>
      <c r="CJ52" s="63">
        <f t="shared" ca="1" si="41"/>
        <v>5110.9340591319205</v>
      </c>
      <c r="CK52" s="63">
        <f t="shared" ca="1" si="42"/>
        <v>2.0771757213052243E-4</v>
      </c>
      <c r="CL52" s="63">
        <f t="shared" ca="1" si="48"/>
        <v>138793.01387861633</v>
      </c>
      <c r="CO52" s="63">
        <f t="shared" ca="1" si="43"/>
        <v>73.338261039702317</v>
      </c>
      <c r="CP52" s="63">
        <f ca="1">SUM($CO$15:CO52)</f>
        <v>1951.8106242202537</v>
      </c>
      <c r="CR52" s="52">
        <f ca="1">EXP(-AVERAGE(CH$15:CH52)*CE52)</f>
        <v>0.89431184330629176</v>
      </c>
      <c r="CT52"/>
      <c r="CU52"/>
      <c r="CV52"/>
      <c r="CW52"/>
      <c r="CX52"/>
      <c r="CY52"/>
      <c r="CZ52"/>
      <c r="DA52"/>
      <c r="DB52"/>
      <c r="DC52"/>
      <c r="DD52"/>
      <c r="DE52"/>
      <c r="DF52"/>
      <c r="DG52"/>
      <c r="DH52"/>
      <c r="DI52"/>
      <c r="DJ52"/>
      <c r="DK52"/>
      <c r="DL52"/>
    </row>
    <row r="53" spans="2:116" ht="15.75" customHeight="1">
      <c r="B53" s="52">
        <v>4</v>
      </c>
      <c r="C53" s="52">
        <f t="shared" ca="1" si="49"/>
        <v>39</v>
      </c>
      <c r="D53" s="71">
        <f t="shared" ca="1" si="16"/>
        <v>46165</v>
      </c>
      <c r="E53" s="71">
        <f t="shared" ca="1" si="50"/>
        <v>46196</v>
      </c>
      <c r="F53" s="72">
        <f t="shared" ca="1" si="51"/>
        <v>31</v>
      </c>
      <c r="G53" s="73">
        <f ca="1">SUM($F$15:F53)/360</f>
        <v>3.3</v>
      </c>
      <c r="H53" s="74">
        <f t="shared" si="2"/>
        <v>25000000</v>
      </c>
      <c r="I53" s="59">
        <f>IF('Cap Pricer'!$E$22=DataValidation!$C$2,'Cap Pricer'!$E$23,IF('Cap Pricer'!$E$22=DataValidation!$C$3,VLOOKUP($B53,'Cap Pricer'!$C$25:$E$31,3),""))</f>
        <v>0.02</v>
      </c>
      <c r="J53" s="57">
        <f>Volatilities_Resets!$E42*0.01</f>
        <v>2.8197E-2</v>
      </c>
      <c r="K53" s="61">
        <f>IF(I53=L$11,Volatilities_Resets!$AA42,IF(I53&gt;=K$11,IF(I53&lt;L$11,(((Volatilities_Resets!$AA42-Volatilities_Resets!$Y42)/50)*((Calculator!I53-Calculator!K$11)*10000)+Volatilities_Resets!$Y42)),IF(I53&gt;=K$10,IF(I53&lt;L$10,(((Volatilities_Resets!$Y42-Volatilities_Resets!$W42)/50)*((Calculator!I53-Calculator!K$10)*10000)+Volatilities_Resets!$W42)),IF(I53&gt;=K$9,IF(I53&lt;L$9,(((Volatilities_Resets!$W42-Volatilities_Resets!$U42)/50)*((Calculator!I53-Calculator!K$9)*10000)+Volatilities_Resets!$U42)),IF(I53&gt;=K$8,IF(I53&lt;L$8,(((Volatilities_Resets!$U42-Volatilities_Resets!$S42)/50)*((Calculator!I53-Calculator!K$8)*10000)+Volatilities_Resets!$S42)),IF(I53&gt;=K$7,IF(I53&lt;L$7,(((Volatilities_Resets!$S42-Volatilities_Resets!$Q42)/50)*((Calculator!I53-Calculator!K$7)*10000)+Volatilities_Resets!$Q42)),IF(I53&gt;=K$6,IF(I53&lt;L$6,(((Volatilities_Resets!$Q42-Volatilities_Resets!$O42)/50)*((Calculator!I53-Calculator!K$6)*10000)+Volatilities_Resets!$O42)),IF(I53&gt;=K$5,IF(I53&lt;L$5,(((Volatilities_Resets!$O42-Volatilities_Resets!$M42)/50)*((Calculator!I53-Calculator!K$5)*10000)+Volatilities_Resets!$M42)),IF(I53&gt;=K$4,IF(I53&lt;L$4,(((Volatilities_Resets!$M42-Volatilities_Resets!$K42)/50)*((Calculator!I53-Calculator!K$4)*10000)+Volatilities_Resets!$K42)),IF(I53&gt;=K$3,IF(I53&lt;L$3,(((Volatilities_Resets!$K42-Volatilities_Resets!$I42)/50)*((Calculator!I53-Calculator!K$3)*10000)+Volatilities_Resets!$I42)),IF(I53&gt;=K$2,IF(I53&lt;L$2,(((Volatilities_Resets!$I42-Volatilities_Resets!$G42)/50)*((Calculator!I53-Calculator!K$2)*10000)+Volatilities_Resets!$G42)),"Well, something broke...")))))))))))/10000</f>
        <v>1.3502999999999999E-2</v>
      </c>
      <c r="L53" s="47">
        <f t="shared" ca="1" si="17"/>
        <v>27705.488993386498</v>
      </c>
      <c r="M53" s="63">
        <f t="shared" ca="1" si="18"/>
        <v>1.1134868342581143E-3</v>
      </c>
      <c r="N53" s="63">
        <f t="shared" ca="1" si="44"/>
        <v>1511996.707509672</v>
      </c>
      <c r="Q53" s="63">
        <f t="shared" ca="1" si="19"/>
        <v>117.47790269505262</v>
      </c>
      <c r="R53" s="63">
        <f ca="1">SUM($Q$15:Q53)</f>
        <v>2962.9937722805835</v>
      </c>
      <c r="T53" s="52">
        <f ca="1">EXP(-AVERAGE(J$15:J53)*G53)</f>
        <v>0.89213426936290408</v>
      </c>
      <c r="U53" s="57"/>
      <c r="V53" s="52">
        <f t="shared" ca="1" si="20"/>
        <v>39</v>
      </c>
      <c r="W53" s="71">
        <f t="shared" ca="1" si="21"/>
        <v>46165</v>
      </c>
      <c r="X53" s="71">
        <f t="shared" ca="1" si="3"/>
        <v>46196</v>
      </c>
      <c r="Y53" s="72">
        <f t="shared" ca="1" si="4"/>
        <v>31</v>
      </c>
      <c r="Z53" s="73">
        <f ca="1">SUM(Y$15:Y53)/360</f>
        <v>3.3</v>
      </c>
      <c r="AA53" s="74">
        <f t="shared" si="22"/>
        <v>25000000</v>
      </c>
      <c r="AB53" s="59">
        <f t="shared" si="23"/>
        <v>0.03</v>
      </c>
      <c r="AC53" s="57">
        <f>Volatilities_Resets!$E42*0.01</f>
        <v>2.8197E-2</v>
      </c>
      <c r="AD53" s="61">
        <f>IF(AB53=AE$11,Volatilities_Resets!$AA42,IF(AB53&gt;=AD$11,IF(AB53&lt;AE$11,(((Volatilities_Resets!$AA42-Volatilities_Resets!$Y42)/50)*((Calculator!AB53-Calculator!AD$11)*10000)+Volatilities_Resets!$Y42)),IF(AB53&gt;=AD$10,IF(AB53&lt;AE$10,(((Volatilities_Resets!$Y42-Volatilities_Resets!$W42)/50)*((Calculator!AB53-Calculator!AD$10)*10000)+Volatilities_Resets!$W42)),IF(AB53&gt;=AD$9,IF(AB53&lt;AE$9,(((Volatilities_Resets!$W42-Volatilities_Resets!$U42)/50)*((Calculator!AB53-Calculator!AD$9)*10000)+Volatilities_Resets!$U42)),IF(AB53&gt;=AD$8,IF(AB53&lt;AE$8,(((Volatilities_Resets!$U42-Volatilities_Resets!$S42)/50)*((Calculator!AB53-Calculator!AD$8)*10000)+Volatilities_Resets!$S42)),IF(AB53&gt;=AD$7,IF(AB53&lt;AE$7,(((Volatilities_Resets!$S42-Volatilities_Resets!$Q42)/50)*((Calculator!AB53-Calculator!AD$7)*10000)+Volatilities_Resets!$Q42)),IF(AB53&gt;=AD$6,IF(AB53&lt;AE$6,(((Volatilities_Resets!$Q42-Volatilities_Resets!$O42)/50)*((Calculator!AB53-Calculator!AD$6)*10000)+Volatilities_Resets!$O42)),IF(AB53&gt;=AD$5,IF(AB53&lt;AE$5,(((Volatilities_Resets!$O42-Volatilities_Resets!$M42)/50)*((Calculator!AB53-Calculator!AD$5)*10000)+Volatilities_Resets!$M42)),IF(AB53&gt;=AD$4,IF(AB53&lt;AE$4,(((Volatilities_Resets!$M42-Volatilities_Resets!$K42)/50)*((Calculator!AB53-Calculator!AD$4)*10000)+Volatilities_Resets!$K42)),IF(AB53&gt;=AD$3,IF(AB53&lt;AE$3,(((Volatilities_Resets!$K42-Volatilities_Resets!$I42)/50)*((Calculator!AB53-Calculator!AD$3)*10000)+Volatilities_Resets!$I42)),IF(AB53&gt;=AD$2,IF(AB53&lt;AE$2,(((Volatilities_Resets!$I42-Volatilities_Resets!$G42)/50)*((Calculator!AB53-Calculator!AD$2)*10000)+Volatilities_Resets!$G42)),"Well, something broke...")))))))))))/10000</f>
        <v>1.4006999999999999E-2</v>
      </c>
      <c r="AE53" s="63">
        <f t="shared" ca="1" si="24"/>
        <v>17813.356139211686</v>
      </c>
      <c r="AF53" s="63">
        <f t="shared" ca="1" si="25"/>
        <v>7.180878365471593E-4</v>
      </c>
      <c r="AG53" s="63">
        <f t="shared" ca="1" si="45"/>
        <v>1000849.0808810041</v>
      </c>
      <c r="AJ53" s="63">
        <f t="shared" ca="1" si="26"/>
        <v>123.86372075289087</v>
      </c>
      <c r="AK53" s="63">
        <f ca="1">SUM($AJ$15:AJ53)</f>
        <v>3299.7012770072756</v>
      </c>
      <c r="AM53" s="52">
        <f ca="1">EXP(-AVERAGE(AC$15:AC53)*Z53)</f>
        <v>0.89213426936290408</v>
      </c>
      <c r="AO53" s="52">
        <f t="shared" ca="1" si="27"/>
        <v>39</v>
      </c>
      <c r="AP53" s="71">
        <f t="shared" ca="1" si="28"/>
        <v>46165</v>
      </c>
      <c r="AQ53" s="71">
        <f t="shared" ca="1" si="5"/>
        <v>46196</v>
      </c>
      <c r="AR53" s="72">
        <f t="shared" ca="1" si="6"/>
        <v>31</v>
      </c>
      <c r="AS53" s="73">
        <f ca="1">SUM(AR$15:AR53)/360</f>
        <v>3.3</v>
      </c>
      <c r="AT53" s="74">
        <f t="shared" si="7"/>
        <v>25000000</v>
      </c>
      <c r="AU53" s="59">
        <f t="shared" si="29"/>
        <v>0.04</v>
      </c>
      <c r="AV53" s="57">
        <f>Volatilities_Resets!$E42*0.01</f>
        <v>2.8197E-2</v>
      </c>
      <c r="AW53" s="61">
        <f>IF(AU53=AX$11,Volatilities_Resets!$AA42,IF(AU53&gt;=AW$11,IF(AU53&lt;AX$11,(((Volatilities_Resets!$AA42-Volatilities_Resets!$Y42)/50)*((Calculator!AU53-Calculator!AW$11)*10000)+Volatilities_Resets!$Y42)),IF(AU53&gt;=AW$10,IF(AU53&lt;AX$10,(((Volatilities_Resets!$Y42-Volatilities_Resets!$W42)/50)*((Calculator!AU53-Calculator!AW$10)*10000)+Volatilities_Resets!$W42)),IF(AU53&gt;=AW$9,IF(AU53&lt;AX$9,(((Volatilities_Resets!$W42-Volatilities_Resets!$U42)/50)*((Calculator!AU53-Calculator!AW$9)*10000)+Volatilities_Resets!$U42)),IF(AU53&gt;=AW$8,IF(AU53&lt;AX$8,(((Volatilities_Resets!$U42-Volatilities_Resets!$S42)/50)*((Calculator!AU53-Calculator!AW$8)*10000)+Volatilities_Resets!$S42)),IF(AU53&gt;=AW$7,IF(AU53&lt;AX$7,(((Volatilities_Resets!$S42-Volatilities_Resets!$Q42)/50)*((Calculator!AU53-Calculator!AW$7)*10000)+Volatilities_Resets!$Q42)),IF(AU53&gt;=AW$6,IF(AU53&lt;AX$6,(((Volatilities_Resets!$Q42-Volatilities_Resets!$O42)/50)*((Calculator!AU53-Calculator!AW$6)*10000)+Volatilities_Resets!$O42)),IF(AU53&gt;=AW$5,IF(AU53&lt;AX$5,(((Volatilities_Resets!$O42-Volatilities_Resets!$M42)/50)*((Calculator!AU53-Calculator!AW$5)*10000)+Volatilities_Resets!$M42)),IF(AU53&gt;=AW$4,IF(AU53&lt;AX$4,(((Volatilities_Resets!$M42-Volatilities_Resets!$K42)/50)*((Calculator!AU53-Calculator!AW$4)*10000)+Volatilities_Resets!$K42)),IF(AU53&gt;=AW$3,IF(AU53&lt;AX$3,(((Volatilities_Resets!$K42-Volatilities_Resets!$I42)/50)*((Calculator!AU53-Calculator!AW$3)*10000)+Volatilities_Resets!$I42)),IF(AU53&gt;=AW$2,IF(AU53&lt;AX$2,(((Volatilities_Resets!$I42-Volatilities_Resets!$G42)/50)*((Calculator!AU53-Calculator!AW$2)*10000)+Volatilities_Resets!$G42)),"Well, something broke...")))))))))))/10000</f>
        <v>1.5022999999999998E-2</v>
      </c>
      <c r="AX53" s="63">
        <f t="shared" ca="1" si="30"/>
        <v>11501.411978794769</v>
      </c>
      <c r="AY53" s="63">
        <f t="shared" ca="1" si="31"/>
        <v>4.6512997936953626E-4</v>
      </c>
      <c r="AZ53" s="63">
        <f t="shared" ca="1" si="46"/>
        <v>590442.50695011893</v>
      </c>
      <c r="BC53" s="63">
        <f t="shared" ca="1" si="8"/>
        <v>113.156085246773</v>
      </c>
      <c r="BD53" s="63">
        <f ca="1">SUM($BC$15:BC53)</f>
        <v>3261.419481920243</v>
      </c>
      <c r="BF53" s="52">
        <f ca="1">EXP(-AVERAGE(AV$15:AV53)*AS53)</f>
        <v>0.89213426936290408</v>
      </c>
      <c r="BH53" s="52">
        <f t="shared" ca="1" si="32"/>
        <v>39</v>
      </c>
      <c r="BI53" s="71">
        <f t="shared" ca="1" si="33"/>
        <v>46165</v>
      </c>
      <c r="BJ53" s="71">
        <f t="shared" ca="1" si="9"/>
        <v>46196</v>
      </c>
      <c r="BK53" s="72">
        <f t="shared" ca="1" si="10"/>
        <v>31</v>
      </c>
      <c r="BL53" s="73">
        <f ca="1">SUM(BK$15:BK53)/360</f>
        <v>3.3</v>
      </c>
      <c r="BM53" s="74">
        <f t="shared" si="11"/>
        <v>25000000</v>
      </c>
      <c r="BN53" s="59">
        <f t="shared" si="34"/>
        <v>0.05</v>
      </c>
      <c r="BO53" s="57">
        <f>Volatilities_Resets!$E42*0.01</f>
        <v>2.8197E-2</v>
      </c>
      <c r="BP53" s="61">
        <f>IF(BN53=BQ$11,Volatilities_Resets!$AA42,IF(BN53&gt;=BP$11,IF(BN53&lt;BQ$11,(((Volatilities_Resets!$AA42-Volatilities_Resets!$Y42)/50)*((Calculator!BN53-Calculator!BP$11)*10000)+Volatilities_Resets!$Y42)),IF(BN53&gt;=BP$10,IF(BN53&lt;BQ$10,(((Volatilities_Resets!$Y42-Volatilities_Resets!$W42)/50)*((Calculator!BN53-Calculator!BP$10)*10000)+Volatilities_Resets!$W42)),IF(BN53&gt;=BP$9,IF(BN53&lt;BQ$9,(((Volatilities_Resets!$W42-Volatilities_Resets!$U42)/50)*((Calculator!BN53-Calculator!BP$9)*10000)+Volatilities_Resets!$U42)),IF(BN53&gt;=BP$8,IF(BN53&lt;BQ$8,(((Volatilities_Resets!$U42-Volatilities_Resets!$S42)/50)*((Calculator!BN53-Calculator!BP$8)*10000)+Volatilities_Resets!$S42)),IF(BN53&gt;=BP$7,IF(BN53&lt;BQ$7,(((Volatilities_Resets!$S42-Volatilities_Resets!$Q42)/50)*((Calculator!BN53-Calculator!BP$7)*10000)+Volatilities_Resets!$Q42)),IF(BN53&gt;=BP$6,IF(BN53&lt;BQ$6,(((Volatilities_Resets!$Q42-Volatilities_Resets!$O42)/50)*((Calculator!BN53-Calculator!BP$6)*10000)+Volatilities_Resets!$O42)),IF(BN53&gt;=BP$5,IF(BN53&lt;BQ$5,(((Volatilities_Resets!$O42-Volatilities_Resets!$M42)/50)*((Calculator!BN53-Calculator!BP$5)*10000)+Volatilities_Resets!$M42)),IF(BN53&gt;=BP$4,IF(BN53&lt;BQ$4,(((Volatilities_Resets!$M42-Volatilities_Resets!$K42)/50)*((Calculator!BN53-Calculator!BP$4)*10000)+Volatilities_Resets!$K42)),IF(BN53&gt;=BP$3,IF(BN53&lt;BQ$3,(((Volatilities_Resets!$K42-Volatilities_Resets!$I42)/50)*((Calculator!BN53-Calculator!BP$3)*10000)+Volatilities_Resets!$I42)),IF(BN53&gt;=BP$2,IF(BN53&lt;BQ$2,(((Volatilities_Resets!$I42-Volatilities_Resets!$G42)/50)*((Calculator!BN53-Calculator!BP$2)*10000)+Volatilities_Resets!$G42)),"Well, something broke...")))))))))))/10000</f>
        <v>1.6393000000000001E-2</v>
      </c>
      <c r="BQ53" s="63">
        <f t="shared" ca="1" si="35"/>
        <v>7735.965689560946</v>
      </c>
      <c r="BR53" s="63">
        <f t="shared" ca="1" si="36"/>
        <v>3.1370404549543038E-4</v>
      </c>
      <c r="BS53" s="63">
        <f t="shared" ca="1" si="47"/>
        <v>291338.74792778579</v>
      </c>
      <c r="BV53" s="63">
        <f t="shared" ca="1" si="37"/>
        <v>95.133137333376439</v>
      </c>
      <c r="BW53" s="63">
        <f ca="1">SUM($BV$15:BV53)</f>
        <v>2812.0109710545316</v>
      </c>
      <c r="BY53" s="52">
        <f ca="1">EXP(-AVERAGE(BO$15:BO53)*BL53)</f>
        <v>0.89213426936290408</v>
      </c>
      <c r="CA53" s="52">
        <f t="shared" ca="1" si="38"/>
        <v>39</v>
      </c>
      <c r="CB53" s="71">
        <f t="shared" ca="1" si="39"/>
        <v>46165</v>
      </c>
      <c r="CC53" s="71">
        <f t="shared" ca="1" si="12"/>
        <v>46196</v>
      </c>
      <c r="CD53" s="72">
        <f t="shared" ca="1" si="13"/>
        <v>31</v>
      </c>
      <c r="CE53" s="73">
        <f ca="1">SUM(CD$15:CD53)/360</f>
        <v>3.3</v>
      </c>
      <c r="CF53" s="74">
        <f t="shared" si="14"/>
        <v>25000000</v>
      </c>
      <c r="CG53" s="59">
        <f t="shared" si="40"/>
        <v>0.06</v>
      </c>
      <c r="CH53" s="57">
        <f>Volatilities_Resets!$E42*0.01</f>
        <v>2.8197E-2</v>
      </c>
      <c r="CI53" s="61">
        <f>IF(CG53=CJ$11,Volatilities_Resets!$AA42,IF(CG53&gt;=CI$11,IF(CG53&lt;CJ$11,(((Volatilities_Resets!$AA42-Volatilities_Resets!$Y42)/50)*((Calculator!CG53-Calculator!CI$11)*10000)+Volatilities_Resets!$Y42)),IF(CG53&gt;=CI$10,IF(CG53&lt;CJ$10,(((Volatilities_Resets!$Y42-Volatilities_Resets!$W42)/50)*((Calculator!CG53-Calculator!CI$10)*10000)+Volatilities_Resets!$W42)),IF(CG53&gt;=CI$9,IF(CG53&lt;CJ$9,(((Volatilities_Resets!$W42-Volatilities_Resets!$U42)/50)*((Calculator!CG53-Calculator!CI$9)*10000)+Volatilities_Resets!$U42)),IF(CG53&gt;=CI$8,IF(CG53&lt;CJ$8,(((Volatilities_Resets!$U42-Volatilities_Resets!$S42)/50)*((Calculator!CG53-Calculator!CI$8)*10000)+Volatilities_Resets!$S42)),IF(CG53&gt;=CI$7,IF(CG53&lt;CJ$7,(((Volatilities_Resets!$S42-Volatilities_Resets!$Q42)/50)*((Calculator!CG53-Calculator!CI$7)*10000)+Volatilities_Resets!$Q42)),IF(CG53&gt;=CI$6,IF(CG53&lt;CJ$6,(((Volatilities_Resets!$Q42-Volatilities_Resets!$O42)/50)*((Calculator!CG53-Calculator!CI$6)*10000)+Volatilities_Resets!$O42)),IF(CG53&gt;=CI$5,IF(CG53&lt;CJ$5,(((Volatilities_Resets!$O42-Volatilities_Resets!$M42)/50)*((Calculator!CG53-Calculator!CI$5)*10000)+Volatilities_Resets!$M42)),IF(CG53&gt;=CI$4,IF(CG53&lt;CJ$4,(((Volatilities_Resets!$M42-Volatilities_Resets!$K42)/50)*((Calculator!CG53-Calculator!CI$4)*10000)+Volatilities_Resets!$K42)),IF(CG53&gt;=CI$3,IF(CG53&lt;CJ$3,(((Volatilities_Resets!$K42-Volatilities_Resets!$I42)/50)*((Calculator!CG53-Calculator!CI$3)*10000)+Volatilities_Resets!$I42)),IF(CG53&gt;=CI$2,IF(CG53&lt;CJ$2,(((Volatilities_Resets!$I42-Volatilities_Resets!$G42)/50)*((Calculator!CG53-Calculator!CI$2)*10000)+Volatilities_Resets!$G42)),"Well, something broke...")))))))))))/10000</f>
        <v>1.7956E-2</v>
      </c>
      <c r="CJ53" s="63">
        <f t="shared" ca="1" si="41"/>
        <v>5472.7404064938573</v>
      </c>
      <c r="CK53" s="63">
        <f t="shared" ca="1" si="42"/>
        <v>2.223800002409619E-4</v>
      </c>
      <c r="CL53" s="63">
        <f t="shared" ca="1" si="48"/>
        <v>144265.75428511019</v>
      </c>
      <c r="CO53" s="63">
        <f t="shared" ca="1" si="43"/>
        <v>77.401211937084383</v>
      </c>
      <c r="CP53" s="63">
        <f ca="1">SUM($CO$15:CO53)</f>
        <v>2029.211836157338</v>
      </c>
      <c r="CR53" s="52">
        <f ca="1">EXP(-AVERAGE(CH$15:CH53)*CE53)</f>
        <v>0.89213426936290408</v>
      </c>
      <c r="CT53"/>
      <c r="CU53"/>
      <c r="CV53"/>
      <c r="CW53"/>
      <c r="CX53"/>
      <c r="CY53"/>
      <c r="CZ53"/>
      <c r="DA53"/>
      <c r="DB53"/>
      <c r="DC53"/>
      <c r="DD53"/>
      <c r="DE53"/>
      <c r="DF53"/>
      <c r="DG53"/>
      <c r="DH53"/>
      <c r="DI53"/>
      <c r="DJ53"/>
      <c r="DK53"/>
      <c r="DL53"/>
    </row>
    <row r="54" spans="2:116" ht="15.75" customHeight="1">
      <c r="B54" s="52">
        <v>4</v>
      </c>
      <c r="C54" s="52">
        <f t="shared" ca="1" si="49"/>
        <v>40</v>
      </c>
      <c r="D54" s="71">
        <f t="shared" ca="1" si="16"/>
        <v>46196</v>
      </c>
      <c r="E54" s="71">
        <f t="shared" ca="1" si="50"/>
        <v>46226</v>
      </c>
      <c r="F54" s="72">
        <f t="shared" ca="1" si="51"/>
        <v>30</v>
      </c>
      <c r="G54" s="73">
        <f ca="1">SUM($F$15:F54)/360</f>
        <v>3.3833333333333333</v>
      </c>
      <c r="H54" s="74">
        <f t="shared" si="2"/>
        <v>25000000</v>
      </c>
      <c r="I54" s="59">
        <f>IF('Cap Pricer'!$E$22=DataValidation!$C$2,'Cap Pricer'!$E$23,IF('Cap Pricer'!$E$22=DataValidation!$C$3,VLOOKUP($B54,'Cap Pricer'!$C$25:$E$31,3),""))</f>
        <v>0.02</v>
      </c>
      <c r="J54" s="57">
        <f>Volatilities_Resets!$E43*0.01</f>
        <v>2.8197E-2</v>
      </c>
      <c r="K54" s="61">
        <f>IF(I54=L$11,Volatilities_Resets!$AA43,IF(I54&gt;=K$11,IF(I54&lt;L$11,(((Volatilities_Resets!$AA43-Volatilities_Resets!$Y43)/50)*((Calculator!I54-Calculator!K$11)*10000)+Volatilities_Resets!$Y43)),IF(I54&gt;=K$10,IF(I54&lt;L$10,(((Volatilities_Resets!$Y43-Volatilities_Resets!$W43)/50)*((Calculator!I54-Calculator!K$10)*10000)+Volatilities_Resets!$W43)),IF(I54&gt;=K$9,IF(I54&lt;L$9,(((Volatilities_Resets!$W43-Volatilities_Resets!$U43)/50)*((Calculator!I54-Calculator!K$9)*10000)+Volatilities_Resets!$U43)),IF(I54&gt;=K$8,IF(I54&lt;L$8,(((Volatilities_Resets!$U43-Volatilities_Resets!$S43)/50)*((Calculator!I54-Calculator!K$8)*10000)+Volatilities_Resets!$S43)),IF(I54&gt;=K$7,IF(I54&lt;L$7,(((Volatilities_Resets!$S43-Volatilities_Resets!$Q43)/50)*((Calculator!I54-Calculator!K$7)*10000)+Volatilities_Resets!$Q43)),IF(I54&gt;=K$6,IF(I54&lt;L$6,(((Volatilities_Resets!$Q43-Volatilities_Resets!$O43)/50)*((Calculator!I54-Calculator!K$6)*10000)+Volatilities_Resets!$O43)),IF(I54&gt;=K$5,IF(I54&lt;L$5,(((Volatilities_Resets!$O43-Volatilities_Resets!$M43)/50)*((Calculator!I54-Calculator!K$5)*10000)+Volatilities_Resets!$M43)),IF(I54&gt;=K$4,IF(I54&lt;L$4,(((Volatilities_Resets!$M43-Volatilities_Resets!$K43)/50)*((Calculator!I54-Calculator!K$4)*10000)+Volatilities_Resets!$K43)),IF(I54&gt;=K$3,IF(I54&lt;L$3,(((Volatilities_Resets!$K43-Volatilities_Resets!$I43)/50)*((Calculator!I54-Calculator!K$3)*10000)+Volatilities_Resets!$I43)),IF(I54&gt;=K$2,IF(I54&lt;L$2,(((Volatilities_Resets!$I43-Volatilities_Resets!$G43)/50)*((Calculator!I54-Calculator!K$2)*10000)+Volatilities_Resets!$G43)),"Well, something broke...")))))))))))/10000</f>
        <v>1.3502999999999999E-2</v>
      </c>
      <c r="L54" s="47">
        <f t="shared" ca="1" si="17"/>
        <v>26964.516703268324</v>
      </c>
      <c r="M54" s="63">
        <f t="shared" ca="1" si="18"/>
        <v>1.0837369516994669E-3</v>
      </c>
      <c r="N54" s="63">
        <f t="shared" ca="1" si="44"/>
        <v>1538961.2242129403</v>
      </c>
      <c r="Q54" s="63">
        <f t="shared" ca="1" si="19"/>
        <v>114.73343862187937</v>
      </c>
      <c r="R54" s="63">
        <f ca="1">SUM($Q$15:Q54)</f>
        <v>3077.727210902463</v>
      </c>
      <c r="T54" s="52">
        <f ca="1">EXP(-AVERAGE(J$15:J54)*G54)</f>
        <v>0.89004754755993076</v>
      </c>
      <c r="U54" s="57"/>
      <c r="V54" s="52">
        <f t="shared" ca="1" si="20"/>
        <v>40</v>
      </c>
      <c r="W54" s="71">
        <f t="shared" ca="1" si="21"/>
        <v>46196</v>
      </c>
      <c r="X54" s="71">
        <f t="shared" ca="1" si="3"/>
        <v>46226</v>
      </c>
      <c r="Y54" s="72">
        <f t="shared" ca="1" si="4"/>
        <v>30</v>
      </c>
      <c r="Z54" s="73">
        <f ca="1">SUM(Y$15:Y54)/360</f>
        <v>3.3833333333333333</v>
      </c>
      <c r="AA54" s="74">
        <f t="shared" si="22"/>
        <v>25000000</v>
      </c>
      <c r="AB54" s="59">
        <f t="shared" si="23"/>
        <v>0.03</v>
      </c>
      <c r="AC54" s="57">
        <f>Volatilities_Resets!$E43*0.01</f>
        <v>2.8197E-2</v>
      </c>
      <c r="AD54" s="61">
        <f>IF(AB54=AE$11,Volatilities_Resets!$AA43,IF(AB54&gt;=AD$11,IF(AB54&lt;AE$11,(((Volatilities_Resets!$AA43-Volatilities_Resets!$Y43)/50)*((Calculator!AB54-Calculator!AD$11)*10000)+Volatilities_Resets!$Y43)),IF(AB54&gt;=AD$10,IF(AB54&lt;AE$10,(((Volatilities_Resets!$Y43-Volatilities_Resets!$W43)/50)*((Calculator!AB54-Calculator!AD$10)*10000)+Volatilities_Resets!$W43)),IF(AB54&gt;=AD$9,IF(AB54&lt;AE$9,(((Volatilities_Resets!$W43-Volatilities_Resets!$U43)/50)*((Calculator!AB54-Calculator!AD$9)*10000)+Volatilities_Resets!$U43)),IF(AB54&gt;=AD$8,IF(AB54&lt;AE$8,(((Volatilities_Resets!$U43-Volatilities_Resets!$S43)/50)*((Calculator!AB54-Calculator!AD$8)*10000)+Volatilities_Resets!$S43)),IF(AB54&gt;=AD$7,IF(AB54&lt;AE$7,(((Volatilities_Resets!$S43-Volatilities_Resets!$Q43)/50)*((Calculator!AB54-Calculator!AD$7)*10000)+Volatilities_Resets!$Q43)),IF(AB54&gt;=AD$6,IF(AB54&lt;AE$6,(((Volatilities_Resets!$Q43-Volatilities_Resets!$O43)/50)*((Calculator!AB54-Calculator!AD$6)*10000)+Volatilities_Resets!$O43)),IF(AB54&gt;=AD$5,IF(AB54&lt;AE$5,(((Volatilities_Resets!$O43-Volatilities_Resets!$M43)/50)*((Calculator!AB54-Calculator!AD$5)*10000)+Volatilities_Resets!$M43)),IF(AB54&gt;=AD$4,IF(AB54&lt;AE$4,(((Volatilities_Resets!$M43-Volatilities_Resets!$K43)/50)*((Calculator!AB54-Calculator!AD$4)*10000)+Volatilities_Resets!$K43)),IF(AB54&gt;=AD$3,IF(AB54&lt;AE$3,(((Volatilities_Resets!$K43-Volatilities_Resets!$I43)/50)*((Calculator!AB54-Calculator!AD$3)*10000)+Volatilities_Resets!$I43)),IF(AB54&gt;=AD$2,IF(AB54&lt;AE$2,(((Volatilities_Resets!$I43-Volatilities_Resets!$G43)/50)*((Calculator!AB54-Calculator!AD$2)*10000)+Volatilities_Resets!$G43)),"Well, something broke...")))))))))))/10000</f>
        <v>1.4006999999999999E-2</v>
      </c>
      <c r="AE54" s="63">
        <f t="shared" ca="1" si="24"/>
        <v>17434.004947224068</v>
      </c>
      <c r="AF54" s="63">
        <f t="shared" ca="1" si="25"/>
        <v>7.0278968148482842E-4</v>
      </c>
      <c r="AG54" s="63">
        <f t="shared" ca="1" si="45"/>
        <v>1018283.0858282282</v>
      </c>
      <c r="AJ54" s="63">
        <f t="shared" ca="1" si="26"/>
        <v>120.81246397542752</v>
      </c>
      <c r="AK54" s="63">
        <f ca="1">SUM($AJ$15:AJ54)</f>
        <v>3420.513740982703</v>
      </c>
      <c r="AM54" s="52">
        <f ca="1">EXP(-AVERAGE(AC$15:AC54)*Z54)</f>
        <v>0.89004754755993076</v>
      </c>
      <c r="AO54" s="52">
        <f t="shared" ca="1" si="27"/>
        <v>40</v>
      </c>
      <c r="AP54" s="71">
        <f t="shared" ca="1" si="28"/>
        <v>46196</v>
      </c>
      <c r="AQ54" s="71">
        <f t="shared" ca="1" si="5"/>
        <v>46226</v>
      </c>
      <c r="AR54" s="72">
        <f t="shared" ca="1" si="6"/>
        <v>30</v>
      </c>
      <c r="AS54" s="73">
        <f ca="1">SUM(AR$15:AR54)/360</f>
        <v>3.3833333333333333</v>
      </c>
      <c r="AT54" s="74">
        <f t="shared" si="7"/>
        <v>25000000</v>
      </c>
      <c r="AU54" s="59">
        <f t="shared" si="29"/>
        <v>0.04</v>
      </c>
      <c r="AV54" s="57">
        <f>Volatilities_Resets!$E43*0.01</f>
        <v>2.8197E-2</v>
      </c>
      <c r="AW54" s="61">
        <f>IF(AU54=AX$11,Volatilities_Resets!$AA43,IF(AU54&gt;=AW$11,IF(AU54&lt;AX$11,(((Volatilities_Resets!$AA43-Volatilities_Resets!$Y43)/50)*((Calculator!AU54-Calculator!AW$11)*10000)+Volatilities_Resets!$Y43)),IF(AU54&gt;=AW$10,IF(AU54&lt;AX$10,(((Volatilities_Resets!$Y43-Volatilities_Resets!$W43)/50)*((Calculator!AU54-Calculator!AW$10)*10000)+Volatilities_Resets!$W43)),IF(AU54&gt;=AW$9,IF(AU54&lt;AX$9,(((Volatilities_Resets!$W43-Volatilities_Resets!$U43)/50)*((Calculator!AU54-Calculator!AW$9)*10000)+Volatilities_Resets!$U43)),IF(AU54&gt;=AW$8,IF(AU54&lt;AX$8,(((Volatilities_Resets!$U43-Volatilities_Resets!$S43)/50)*((Calculator!AU54-Calculator!AW$8)*10000)+Volatilities_Resets!$S43)),IF(AU54&gt;=AW$7,IF(AU54&lt;AX$7,(((Volatilities_Resets!$S43-Volatilities_Resets!$Q43)/50)*((Calculator!AU54-Calculator!AW$7)*10000)+Volatilities_Resets!$Q43)),IF(AU54&gt;=AW$6,IF(AU54&lt;AX$6,(((Volatilities_Resets!$Q43-Volatilities_Resets!$O43)/50)*((Calculator!AU54-Calculator!AW$6)*10000)+Volatilities_Resets!$O43)),IF(AU54&gt;=AW$5,IF(AU54&lt;AX$5,(((Volatilities_Resets!$O43-Volatilities_Resets!$M43)/50)*((Calculator!AU54-Calculator!AW$5)*10000)+Volatilities_Resets!$M43)),IF(AU54&gt;=AW$4,IF(AU54&lt;AX$4,(((Volatilities_Resets!$M43-Volatilities_Resets!$K43)/50)*((Calculator!AU54-Calculator!AW$4)*10000)+Volatilities_Resets!$K43)),IF(AU54&gt;=AW$3,IF(AU54&lt;AX$3,(((Volatilities_Resets!$K43-Volatilities_Resets!$I43)/50)*((Calculator!AU54-Calculator!AW$3)*10000)+Volatilities_Resets!$I43)),IF(AU54&gt;=AW$2,IF(AU54&lt;AX$2,(((Volatilities_Resets!$I43-Volatilities_Resets!$G43)/50)*((Calculator!AU54-Calculator!AW$2)*10000)+Volatilities_Resets!$G43)),"Well, something broke...")))))))))))/10000</f>
        <v>1.5022000000000001E-2</v>
      </c>
      <c r="AX54" s="63">
        <f t="shared" ca="1" si="30"/>
        <v>11334.084328376037</v>
      </c>
      <c r="AY54" s="63">
        <f t="shared" ca="1" si="31"/>
        <v>4.5833449308651077E-4</v>
      </c>
      <c r="AZ54" s="63">
        <f t="shared" ca="1" si="46"/>
        <v>601776.59127849492</v>
      </c>
      <c r="BC54" s="63">
        <f t="shared" ca="1" si="8"/>
        <v>110.61332803578776</v>
      </c>
      <c r="BD54" s="63">
        <f ca="1">SUM($BC$15:BC54)</f>
        <v>3372.0328099560306</v>
      </c>
      <c r="BF54" s="52">
        <f ca="1">EXP(-AVERAGE(AV$15:AV54)*AS54)</f>
        <v>0.89004754755993076</v>
      </c>
      <c r="BH54" s="52">
        <f t="shared" ca="1" si="32"/>
        <v>40</v>
      </c>
      <c r="BI54" s="71">
        <f t="shared" ca="1" si="33"/>
        <v>46196</v>
      </c>
      <c r="BJ54" s="71">
        <f t="shared" ca="1" si="9"/>
        <v>46226</v>
      </c>
      <c r="BK54" s="72">
        <f t="shared" ca="1" si="10"/>
        <v>30</v>
      </c>
      <c r="BL54" s="73">
        <f ca="1">SUM(BK$15:BK54)/360</f>
        <v>3.3833333333333333</v>
      </c>
      <c r="BM54" s="74">
        <f t="shared" si="11"/>
        <v>25000000</v>
      </c>
      <c r="BN54" s="59">
        <f t="shared" si="34"/>
        <v>0.05</v>
      </c>
      <c r="BO54" s="57">
        <f>Volatilities_Resets!$E43*0.01</f>
        <v>2.8197E-2</v>
      </c>
      <c r="BP54" s="61">
        <f>IF(BN54=BQ$11,Volatilities_Resets!$AA43,IF(BN54&gt;=BP$11,IF(BN54&lt;BQ$11,(((Volatilities_Resets!$AA43-Volatilities_Resets!$Y43)/50)*((Calculator!BN54-Calculator!BP$11)*10000)+Volatilities_Resets!$Y43)),IF(BN54&gt;=BP$10,IF(BN54&lt;BQ$10,(((Volatilities_Resets!$Y43-Volatilities_Resets!$W43)/50)*((Calculator!BN54-Calculator!BP$10)*10000)+Volatilities_Resets!$W43)),IF(BN54&gt;=BP$9,IF(BN54&lt;BQ$9,(((Volatilities_Resets!$W43-Volatilities_Resets!$U43)/50)*((Calculator!BN54-Calculator!BP$9)*10000)+Volatilities_Resets!$U43)),IF(BN54&gt;=BP$8,IF(BN54&lt;BQ$8,(((Volatilities_Resets!$U43-Volatilities_Resets!$S43)/50)*((Calculator!BN54-Calculator!BP$8)*10000)+Volatilities_Resets!$S43)),IF(BN54&gt;=BP$7,IF(BN54&lt;BQ$7,(((Volatilities_Resets!$S43-Volatilities_Resets!$Q43)/50)*((Calculator!BN54-Calculator!BP$7)*10000)+Volatilities_Resets!$Q43)),IF(BN54&gt;=BP$6,IF(BN54&lt;BQ$6,(((Volatilities_Resets!$Q43-Volatilities_Resets!$O43)/50)*((Calculator!BN54-Calculator!BP$6)*10000)+Volatilities_Resets!$O43)),IF(BN54&gt;=BP$5,IF(BN54&lt;BQ$5,(((Volatilities_Resets!$O43-Volatilities_Resets!$M43)/50)*((Calculator!BN54-Calculator!BP$5)*10000)+Volatilities_Resets!$M43)),IF(BN54&gt;=BP$4,IF(BN54&lt;BQ$4,(((Volatilities_Resets!$M43-Volatilities_Resets!$K43)/50)*((Calculator!BN54-Calculator!BP$4)*10000)+Volatilities_Resets!$K43)),IF(BN54&gt;=BP$3,IF(BN54&lt;BQ$3,(((Volatilities_Resets!$K43-Volatilities_Resets!$I43)/50)*((Calculator!BN54-Calculator!BP$3)*10000)+Volatilities_Resets!$I43)),IF(BN54&gt;=BP$2,IF(BN54&lt;BQ$2,(((Volatilities_Resets!$I43-Volatilities_Resets!$G43)/50)*((Calculator!BN54-Calculator!BP$2)*10000)+Volatilities_Resets!$G43)),"Well, something broke...")))))))))))/10000</f>
        <v>1.6392E-2</v>
      </c>
      <c r="BQ54" s="63">
        <f t="shared" ca="1" si="35"/>
        <v>7679.9881285370166</v>
      </c>
      <c r="BR54" s="63">
        <f t="shared" ca="1" si="36"/>
        <v>3.1139668445782757E-4</v>
      </c>
      <c r="BS54" s="63">
        <f t="shared" ca="1" si="47"/>
        <v>299018.73605632281</v>
      </c>
      <c r="BV54" s="63">
        <f t="shared" ca="1" si="37"/>
        <v>93.391783905821839</v>
      </c>
      <c r="BW54" s="63">
        <f ca="1">SUM($BV$15:BV54)</f>
        <v>2905.4027549603534</v>
      </c>
      <c r="BY54" s="52">
        <f ca="1">EXP(-AVERAGE(BO$15:BO54)*BL54)</f>
        <v>0.89004754755993076</v>
      </c>
      <c r="CA54" s="52">
        <f t="shared" ca="1" si="38"/>
        <v>40</v>
      </c>
      <c r="CB54" s="71">
        <f t="shared" ca="1" si="39"/>
        <v>46196</v>
      </c>
      <c r="CC54" s="71">
        <f t="shared" ca="1" si="12"/>
        <v>46226</v>
      </c>
      <c r="CD54" s="72">
        <f t="shared" ca="1" si="13"/>
        <v>30</v>
      </c>
      <c r="CE54" s="73">
        <f ca="1">SUM(CD$15:CD54)/360</f>
        <v>3.3833333333333333</v>
      </c>
      <c r="CF54" s="74">
        <f t="shared" si="14"/>
        <v>25000000</v>
      </c>
      <c r="CG54" s="59">
        <f t="shared" si="40"/>
        <v>0.06</v>
      </c>
      <c r="CH54" s="57">
        <f>Volatilities_Resets!$E43*0.01</f>
        <v>2.8197E-2</v>
      </c>
      <c r="CI54" s="61">
        <f>IF(CG54=CJ$11,Volatilities_Resets!$AA43,IF(CG54&gt;=CI$11,IF(CG54&lt;CJ$11,(((Volatilities_Resets!$AA43-Volatilities_Resets!$Y43)/50)*((Calculator!CG54-Calculator!CI$11)*10000)+Volatilities_Resets!$Y43)),IF(CG54&gt;=CI$10,IF(CG54&lt;CJ$10,(((Volatilities_Resets!$Y43-Volatilities_Resets!$W43)/50)*((Calculator!CG54-Calculator!CI$10)*10000)+Volatilities_Resets!$W43)),IF(CG54&gt;=CI$9,IF(CG54&lt;CJ$9,(((Volatilities_Resets!$W43-Volatilities_Resets!$U43)/50)*((Calculator!CG54-Calculator!CI$9)*10000)+Volatilities_Resets!$U43)),IF(CG54&gt;=CI$8,IF(CG54&lt;CJ$8,(((Volatilities_Resets!$U43-Volatilities_Resets!$S43)/50)*((Calculator!CG54-Calculator!CI$8)*10000)+Volatilities_Resets!$S43)),IF(CG54&gt;=CI$7,IF(CG54&lt;CJ$7,(((Volatilities_Resets!$S43-Volatilities_Resets!$Q43)/50)*((Calculator!CG54-Calculator!CI$7)*10000)+Volatilities_Resets!$Q43)),IF(CG54&gt;=CI$6,IF(CG54&lt;CJ$6,(((Volatilities_Resets!$Q43-Volatilities_Resets!$O43)/50)*((Calculator!CG54-Calculator!CI$6)*10000)+Volatilities_Resets!$O43)),IF(CG54&gt;=CI$5,IF(CG54&lt;CJ$5,(((Volatilities_Resets!$O43-Volatilities_Resets!$M43)/50)*((Calculator!CG54-Calculator!CI$5)*10000)+Volatilities_Resets!$M43)),IF(CG54&gt;=CI$4,IF(CG54&lt;CJ$4,(((Volatilities_Resets!$M43-Volatilities_Resets!$K43)/50)*((Calculator!CG54-Calculator!CI$4)*10000)+Volatilities_Resets!$K43)),IF(CG54&gt;=CI$3,IF(CG54&lt;CJ$3,(((Volatilities_Resets!$K43-Volatilities_Resets!$I43)/50)*((Calculator!CG54-Calculator!CI$3)*10000)+Volatilities_Resets!$I43)),IF(CG54&gt;=CI$2,IF(CG54&lt;CJ$2,(((Volatilities_Resets!$I43-Volatilities_Resets!$G43)/50)*((Calculator!CG54-Calculator!CI$2)*10000)+Volatilities_Resets!$G43)),"Well, something broke...")))))))))))/10000</f>
        <v>1.7955000000000002E-2</v>
      </c>
      <c r="CJ54" s="63">
        <f t="shared" ca="1" si="41"/>
        <v>5472.2977853369939</v>
      </c>
      <c r="CK54" s="63">
        <f t="shared" ca="1" si="42"/>
        <v>2.2232408605370342E-4</v>
      </c>
      <c r="CL54" s="63">
        <f t="shared" ca="1" si="48"/>
        <v>149738.05207044719</v>
      </c>
      <c r="CO54" s="63">
        <f t="shared" ca="1" si="43"/>
        <v>76.369965533211399</v>
      </c>
      <c r="CP54" s="63">
        <f ca="1">SUM($CO$15:CO54)</f>
        <v>2105.5818016905496</v>
      </c>
      <c r="CR54" s="52">
        <f ca="1">EXP(-AVERAGE(CH$15:CH54)*CE54)</f>
        <v>0.89004754755993076</v>
      </c>
      <c r="CT54"/>
      <c r="CU54"/>
      <c r="CV54"/>
      <c r="CW54"/>
      <c r="CX54"/>
      <c r="CY54"/>
      <c r="CZ54"/>
      <c r="DA54"/>
      <c r="DB54"/>
      <c r="DC54"/>
      <c r="DD54"/>
      <c r="DE54"/>
      <c r="DF54"/>
      <c r="DG54"/>
      <c r="DH54"/>
      <c r="DI54"/>
      <c r="DJ54"/>
      <c r="DK54"/>
      <c r="DL54"/>
    </row>
    <row r="55" spans="2:116" ht="15.75" customHeight="1">
      <c r="B55" s="52">
        <v>4</v>
      </c>
      <c r="C55" s="52">
        <f t="shared" ca="1" si="49"/>
        <v>41</v>
      </c>
      <c r="D55" s="71">
        <f t="shared" ca="1" si="16"/>
        <v>46226</v>
      </c>
      <c r="E55" s="71">
        <f t="shared" ca="1" si="50"/>
        <v>46257</v>
      </c>
      <c r="F55" s="72">
        <f t="shared" ca="1" si="51"/>
        <v>31</v>
      </c>
      <c r="G55" s="73">
        <f ca="1">SUM($F$15:F55)/360</f>
        <v>3.4694444444444446</v>
      </c>
      <c r="H55" s="74">
        <f t="shared" si="2"/>
        <v>25000000</v>
      </c>
      <c r="I55" s="59">
        <f>IF('Cap Pricer'!$E$22=DataValidation!$C$2,'Cap Pricer'!$E$23,IF('Cap Pricer'!$E$22=DataValidation!$C$3,VLOOKUP($B55,'Cap Pricer'!$C$25:$E$31,3),""))</f>
        <v>0.02</v>
      </c>
      <c r="J55" s="57">
        <f>Volatilities_Resets!$E44*0.01</f>
        <v>2.8195899999999999E-2</v>
      </c>
      <c r="K55" s="61">
        <f>IF(I55=L$11,Volatilities_Resets!$AA44,IF(I55&gt;=K$11,IF(I55&lt;L$11,(((Volatilities_Resets!$AA44-Volatilities_Resets!$Y44)/50)*((Calculator!I55-Calculator!K$11)*10000)+Volatilities_Resets!$Y44)),IF(I55&gt;=K$10,IF(I55&lt;L$10,(((Volatilities_Resets!$Y44-Volatilities_Resets!$W44)/50)*((Calculator!I55-Calculator!K$10)*10000)+Volatilities_Resets!$W44)),IF(I55&gt;=K$9,IF(I55&lt;L$9,(((Volatilities_Resets!$W44-Volatilities_Resets!$U44)/50)*((Calculator!I55-Calculator!K$9)*10000)+Volatilities_Resets!$U44)),IF(I55&gt;=K$8,IF(I55&lt;L$8,(((Volatilities_Resets!$U44-Volatilities_Resets!$S44)/50)*((Calculator!I55-Calculator!K$8)*10000)+Volatilities_Resets!$S44)),IF(I55&gt;=K$7,IF(I55&lt;L$7,(((Volatilities_Resets!$S44-Volatilities_Resets!$Q44)/50)*((Calculator!I55-Calculator!K$7)*10000)+Volatilities_Resets!$Q44)),IF(I55&gt;=K$6,IF(I55&lt;L$6,(((Volatilities_Resets!$Q44-Volatilities_Resets!$O44)/50)*((Calculator!I55-Calculator!K$6)*10000)+Volatilities_Resets!$O44)),IF(I55&gt;=K$5,IF(I55&lt;L$5,(((Volatilities_Resets!$O44-Volatilities_Resets!$M44)/50)*((Calculator!I55-Calculator!K$5)*10000)+Volatilities_Resets!$M44)),IF(I55&gt;=K$4,IF(I55&lt;L$4,(((Volatilities_Resets!$M44-Volatilities_Resets!$K44)/50)*((Calculator!I55-Calculator!K$4)*10000)+Volatilities_Resets!$K44)),IF(I55&gt;=K$3,IF(I55&lt;L$3,(((Volatilities_Resets!$K44-Volatilities_Resets!$I44)/50)*((Calculator!I55-Calculator!K$3)*10000)+Volatilities_Resets!$I44)),IF(I55&gt;=K$2,IF(I55&lt;L$2,(((Volatilities_Resets!$I44-Volatilities_Resets!$G44)/50)*((Calculator!I55-Calculator!K$2)*10000)+Volatilities_Resets!$G44)),"Well, something broke...")))))))))))/10000</f>
        <v>1.3502999999999999E-2</v>
      </c>
      <c r="L55" s="47">
        <f t="shared" ca="1" si="17"/>
        <v>28021.15062848516</v>
      </c>
      <c r="M55" s="63">
        <f t="shared" ca="1" si="18"/>
        <v>1.1262357323145616E-3</v>
      </c>
      <c r="N55" s="63">
        <f t="shared" ca="1" si="44"/>
        <v>1566982.3748414256</v>
      </c>
      <c r="Q55" s="63">
        <f t="shared" ca="1" si="19"/>
        <v>119.63545194690144</v>
      </c>
      <c r="R55" s="63">
        <f ca="1">SUM($Q$15:Q55)</f>
        <v>3197.3626628493644</v>
      </c>
      <c r="T55" s="52">
        <f ca="1">EXP(-AVERAGE(J$15:J55)*G55)</f>
        <v>0.88788090379664464</v>
      </c>
      <c r="U55" s="57"/>
      <c r="V55" s="52">
        <f t="shared" ca="1" si="20"/>
        <v>41</v>
      </c>
      <c r="W55" s="71">
        <f t="shared" ca="1" si="21"/>
        <v>46226</v>
      </c>
      <c r="X55" s="71">
        <f t="shared" ca="1" si="3"/>
        <v>46257</v>
      </c>
      <c r="Y55" s="72">
        <f t="shared" ca="1" si="4"/>
        <v>31</v>
      </c>
      <c r="Z55" s="73">
        <f ca="1">SUM(Y$15:Y55)/360</f>
        <v>3.4694444444444446</v>
      </c>
      <c r="AA55" s="74">
        <f t="shared" si="22"/>
        <v>25000000</v>
      </c>
      <c r="AB55" s="59">
        <f t="shared" si="23"/>
        <v>0.03</v>
      </c>
      <c r="AC55" s="57">
        <f>Volatilities_Resets!$E44*0.01</f>
        <v>2.8195899999999999E-2</v>
      </c>
      <c r="AD55" s="61">
        <f>IF(AB55=AE$11,Volatilities_Resets!$AA44,IF(AB55&gt;=AD$11,IF(AB55&lt;AE$11,(((Volatilities_Resets!$AA44-Volatilities_Resets!$Y44)/50)*((Calculator!AB55-Calculator!AD$11)*10000)+Volatilities_Resets!$Y44)),IF(AB55&gt;=AD$10,IF(AB55&lt;AE$10,(((Volatilities_Resets!$Y44-Volatilities_Resets!$W44)/50)*((Calculator!AB55-Calculator!AD$10)*10000)+Volatilities_Resets!$W44)),IF(AB55&gt;=AD$9,IF(AB55&lt;AE$9,(((Volatilities_Resets!$W44-Volatilities_Resets!$U44)/50)*((Calculator!AB55-Calculator!AD$9)*10000)+Volatilities_Resets!$U44)),IF(AB55&gt;=AD$8,IF(AB55&lt;AE$8,(((Volatilities_Resets!$U44-Volatilities_Resets!$S44)/50)*((Calculator!AB55-Calculator!AD$8)*10000)+Volatilities_Resets!$S44)),IF(AB55&gt;=AD$7,IF(AB55&lt;AE$7,(((Volatilities_Resets!$S44-Volatilities_Resets!$Q44)/50)*((Calculator!AB55-Calculator!AD$7)*10000)+Volatilities_Resets!$Q44)),IF(AB55&gt;=AD$6,IF(AB55&lt;AE$6,(((Volatilities_Resets!$Q44-Volatilities_Resets!$O44)/50)*((Calculator!AB55-Calculator!AD$6)*10000)+Volatilities_Resets!$O44)),IF(AB55&gt;=AD$5,IF(AB55&lt;AE$5,(((Volatilities_Resets!$O44-Volatilities_Resets!$M44)/50)*((Calculator!AB55-Calculator!AD$5)*10000)+Volatilities_Resets!$M44)),IF(AB55&gt;=AD$4,IF(AB55&lt;AE$4,(((Volatilities_Resets!$M44-Volatilities_Resets!$K44)/50)*((Calculator!AB55-Calculator!AD$4)*10000)+Volatilities_Resets!$K44)),IF(AB55&gt;=AD$3,IF(AB55&lt;AE$3,(((Volatilities_Resets!$K44-Volatilities_Resets!$I44)/50)*((Calculator!AB55-Calculator!AD$3)*10000)+Volatilities_Resets!$I44)),IF(AB55&gt;=AD$2,IF(AB55&lt;AE$2,(((Volatilities_Resets!$I44-Volatilities_Resets!$G44)/50)*((Calculator!AB55-Calculator!AD$2)*10000)+Volatilities_Resets!$G44)),"Well, something broke...")))))))))))/10000</f>
        <v>1.4006999999999999E-2</v>
      </c>
      <c r="AE55" s="63">
        <f t="shared" ca="1" si="24"/>
        <v>18218.134830633844</v>
      </c>
      <c r="AF55" s="63">
        <f t="shared" ca="1" si="25"/>
        <v>7.3439330390302239E-4</v>
      </c>
      <c r="AG55" s="63">
        <f t="shared" ca="1" si="45"/>
        <v>1036501.220658862</v>
      </c>
      <c r="AJ55" s="63">
        <f t="shared" ca="1" si="26"/>
        <v>125.81074137817583</v>
      </c>
      <c r="AK55" s="63">
        <f ca="1">SUM($AJ$15:AJ55)</f>
        <v>3546.3244823608788</v>
      </c>
      <c r="AM55" s="52">
        <f ca="1">EXP(-AVERAGE(AC$15:AC55)*Z55)</f>
        <v>0.88788090379664464</v>
      </c>
      <c r="AO55" s="52">
        <f t="shared" ca="1" si="27"/>
        <v>41</v>
      </c>
      <c r="AP55" s="71">
        <f t="shared" ca="1" si="28"/>
        <v>46226</v>
      </c>
      <c r="AQ55" s="71">
        <f t="shared" ca="1" si="5"/>
        <v>46257</v>
      </c>
      <c r="AR55" s="72">
        <f t="shared" ca="1" si="6"/>
        <v>31</v>
      </c>
      <c r="AS55" s="73">
        <f ca="1">SUM(AR$15:AR55)/360</f>
        <v>3.4694444444444446</v>
      </c>
      <c r="AT55" s="74">
        <f t="shared" si="7"/>
        <v>25000000</v>
      </c>
      <c r="AU55" s="59">
        <f t="shared" si="29"/>
        <v>0.04</v>
      </c>
      <c r="AV55" s="57">
        <f>Volatilities_Resets!$E44*0.01</f>
        <v>2.8195899999999999E-2</v>
      </c>
      <c r="AW55" s="61">
        <f>IF(AU55=AX$11,Volatilities_Resets!$AA44,IF(AU55&gt;=AW$11,IF(AU55&lt;AX$11,(((Volatilities_Resets!$AA44-Volatilities_Resets!$Y44)/50)*((Calculator!AU55-Calculator!AW$11)*10000)+Volatilities_Resets!$Y44)),IF(AU55&gt;=AW$10,IF(AU55&lt;AX$10,(((Volatilities_Resets!$Y44-Volatilities_Resets!$W44)/50)*((Calculator!AU55-Calculator!AW$10)*10000)+Volatilities_Resets!$W44)),IF(AU55&gt;=AW$9,IF(AU55&lt;AX$9,(((Volatilities_Resets!$W44-Volatilities_Resets!$U44)/50)*((Calculator!AU55-Calculator!AW$9)*10000)+Volatilities_Resets!$U44)),IF(AU55&gt;=AW$8,IF(AU55&lt;AX$8,(((Volatilities_Resets!$U44-Volatilities_Resets!$S44)/50)*((Calculator!AU55-Calculator!AW$8)*10000)+Volatilities_Resets!$S44)),IF(AU55&gt;=AW$7,IF(AU55&lt;AX$7,(((Volatilities_Resets!$S44-Volatilities_Resets!$Q44)/50)*((Calculator!AU55-Calculator!AW$7)*10000)+Volatilities_Resets!$Q44)),IF(AU55&gt;=AW$6,IF(AU55&lt;AX$6,(((Volatilities_Resets!$Q44-Volatilities_Resets!$O44)/50)*((Calculator!AU55-Calculator!AW$6)*10000)+Volatilities_Resets!$O44)),IF(AU55&gt;=AW$5,IF(AU55&lt;AX$5,(((Volatilities_Resets!$O44-Volatilities_Resets!$M44)/50)*((Calculator!AU55-Calculator!AW$5)*10000)+Volatilities_Resets!$M44)),IF(AU55&gt;=AW$4,IF(AU55&lt;AX$4,(((Volatilities_Resets!$M44-Volatilities_Resets!$K44)/50)*((Calculator!AU55-Calculator!AW$4)*10000)+Volatilities_Resets!$K44)),IF(AU55&gt;=AW$3,IF(AU55&lt;AX$3,(((Volatilities_Resets!$K44-Volatilities_Resets!$I44)/50)*((Calculator!AU55-Calculator!AW$3)*10000)+Volatilities_Resets!$I44)),IF(AU55&gt;=AW$2,IF(AU55&lt;AX$2,(((Volatilities_Resets!$I44-Volatilities_Resets!$G44)/50)*((Calculator!AU55-Calculator!AW$2)*10000)+Volatilities_Resets!$G44)),"Well, something broke...")))))))))))/10000</f>
        <v>1.5022000000000001E-2</v>
      </c>
      <c r="AX55" s="63">
        <f t="shared" ca="1" si="30"/>
        <v>11926.160753748596</v>
      </c>
      <c r="AY55" s="63">
        <f t="shared" ca="1" si="31"/>
        <v>4.8224715075400015E-4</v>
      </c>
      <c r="AZ55" s="63">
        <f t="shared" ca="1" si="46"/>
        <v>613702.75203224353</v>
      </c>
      <c r="BC55" s="63">
        <f t="shared" ca="1" si="8"/>
        <v>115.44051275808383</v>
      </c>
      <c r="BD55" s="63">
        <f ca="1">SUM($BC$15:BC55)</f>
        <v>3487.4733227141146</v>
      </c>
      <c r="BF55" s="52">
        <f ca="1">EXP(-AVERAGE(AV$15:AV55)*AS55)</f>
        <v>0.88788090379664464</v>
      </c>
      <c r="BH55" s="52">
        <f t="shared" ca="1" si="32"/>
        <v>41</v>
      </c>
      <c r="BI55" s="71">
        <f t="shared" ca="1" si="33"/>
        <v>46226</v>
      </c>
      <c r="BJ55" s="71">
        <f t="shared" ca="1" si="9"/>
        <v>46257</v>
      </c>
      <c r="BK55" s="72">
        <f t="shared" ca="1" si="10"/>
        <v>31</v>
      </c>
      <c r="BL55" s="73">
        <f ca="1">SUM(BK$15:BK55)/360</f>
        <v>3.4694444444444446</v>
      </c>
      <c r="BM55" s="74">
        <f t="shared" si="11"/>
        <v>25000000</v>
      </c>
      <c r="BN55" s="59">
        <f t="shared" si="34"/>
        <v>0.05</v>
      </c>
      <c r="BO55" s="57">
        <f>Volatilities_Resets!$E44*0.01</f>
        <v>2.8195899999999999E-2</v>
      </c>
      <c r="BP55" s="61">
        <f>IF(BN55=BQ$11,Volatilities_Resets!$AA44,IF(BN55&gt;=BP$11,IF(BN55&lt;BQ$11,(((Volatilities_Resets!$AA44-Volatilities_Resets!$Y44)/50)*((Calculator!BN55-Calculator!BP$11)*10000)+Volatilities_Resets!$Y44)),IF(BN55&gt;=BP$10,IF(BN55&lt;BQ$10,(((Volatilities_Resets!$Y44-Volatilities_Resets!$W44)/50)*((Calculator!BN55-Calculator!BP$10)*10000)+Volatilities_Resets!$W44)),IF(BN55&gt;=BP$9,IF(BN55&lt;BQ$9,(((Volatilities_Resets!$W44-Volatilities_Resets!$U44)/50)*((Calculator!BN55-Calculator!BP$9)*10000)+Volatilities_Resets!$U44)),IF(BN55&gt;=BP$8,IF(BN55&lt;BQ$8,(((Volatilities_Resets!$U44-Volatilities_Resets!$S44)/50)*((Calculator!BN55-Calculator!BP$8)*10000)+Volatilities_Resets!$S44)),IF(BN55&gt;=BP$7,IF(BN55&lt;BQ$7,(((Volatilities_Resets!$S44-Volatilities_Resets!$Q44)/50)*((Calculator!BN55-Calculator!BP$7)*10000)+Volatilities_Resets!$Q44)),IF(BN55&gt;=BP$6,IF(BN55&lt;BQ$6,(((Volatilities_Resets!$Q44-Volatilities_Resets!$O44)/50)*((Calculator!BN55-Calculator!BP$6)*10000)+Volatilities_Resets!$O44)),IF(BN55&gt;=BP$5,IF(BN55&lt;BQ$5,(((Volatilities_Resets!$O44-Volatilities_Resets!$M44)/50)*((Calculator!BN55-Calculator!BP$5)*10000)+Volatilities_Resets!$M44)),IF(BN55&gt;=BP$4,IF(BN55&lt;BQ$4,(((Volatilities_Resets!$M44-Volatilities_Resets!$K44)/50)*((Calculator!BN55-Calculator!BP$4)*10000)+Volatilities_Resets!$K44)),IF(BN55&gt;=BP$3,IF(BN55&lt;BQ$3,(((Volatilities_Resets!$K44-Volatilities_Resets!$I44)/50)*((Calculator!BN55-Calculator!BP$3)*10000)+Volatilities_Resets!$I44)),IF(BN55&gt;=BP$2,IF(BN55&lt;BQ$2,(((Volatilities_Resets!$I44-Volatilities_Resets!$G44)/50)*((Calculator!BN55-Calculator!BP$2)*10000)+Volatilities_Resets!$G44)),"Well, something broke...")))))))))))/10000</f>
        <v>1.6392E-2</v>
      </c>
      <c r="BQ55" s="63">
        <f t="shared" ca="1" si="35"/>
        <v>8140.7575785912031</v>
      </c>
      <c r="BR55" s="63">
        <f t="shared" ca="1" si="36"/>
        <v>3.3003975910673577E-4</v>
      </c>
      <c r="BS55" s="63">
        <f t="shared" ca="1" si="47"/>
        <v>307159.49363491399</v>
      </c>
      <c r="BV55" s="63">
        <f t="shared" ca="1" si="37"/>
        <v>97.876793643943742</v>
      </c>
      <c r="BW55" s="63">
        <f ca="1">SUM($BV$15:BV55)</f>
        <v>3003.2795486042969</v>
      </c>
      <c r="BY55" s="52">
        <f ca="1">EXP(-AVERAGE(BO$15:BO55)*BL55)</f>
        <v>0.88788090379664464</v>
      </c>
      <c r="CA55" s="52">
        <f t="shared" ca="1" si="38"/>
        <v>41</v>
      </c>
      <c r="CB55" s="71">
        <f t="shared" ca="1" si="39"/>
        <v>46226</v>
      </c>
      <c r="CC55" s="71">
        <f t="shared" ca="1" si="12"/>
        <v>46257</v>
      </c>
      <c r="CD55" s="72">
        <f t="shared" ca="1" si="13"/>
        <v>31</v>
      </c>
      <c r="CE55" s="73">
        <f ca="1">SUM(CD$15:CD55)/360</f>
        <v>3.4694444444444446</v>
      </c>
      <c r="CF55" s="74">
        <f t="shared" si="14"/>
        <v>25000000</v>
      </c>
      <c r="CG55" s="59">
        <f t="shared" si="40"/>
        <v>0.06</v>
      </c>
      <c r="CH55" s="57">
        <f>Volatilities_Resets!$E44*0.01</f>
        <v>2.8195899999999999E-2</v>
      </c>
      <c r="CI55" s="61">
        <f>IF(CG55=CJ$11,Volatilities_Resets!$AA44,IF(CG55&gt;=CI$11,IF(CG55&lt;CJ$11,(((Volatilities_Resets!$AA44-Volatilities_Resets!$Y44)/50)*((Calculator!CG55-Calculator!CI$11)*10000)+Volatilities_Resets!$Y44)),IF(CG55&gt;=CI$10,IF(CG55&lt;CJ$10,(((Volatilities_Resets!$Y44-Volatilities_Resets!$W44)/50)*((Calculator!CG55-Calculator!CI$10)*10000)+Volatilities_Resets!$W44)),IF(CG55&gt;=CI$9,IF(CG55&lt;CJ$9,(((Volatilities_Resets!$W44-Volatilities_Resets!$U44)/50)*((Calculator!CG55-Calculator!CI$9)*10000)+Volatilities_Resets!$U44)),IF(CG55&gt;=CI$8,IF(CG55&lt;CJ$8,(((Volatilities_Resets!$U44-Volatilities_Resets!$S44)/50)*((Calculator!CG55-Calculator!CI$8)*10000)+Volatilities_Resets!$S44)),IF(CG55&gt;=CI$7,IF(CG55&lt;CJ$7,(((Volatilities_Resets!$S44-Volatilities_Resets!$Q44)/50)*((Calculator!CG55-Calculator!CI$7)*10000)+Volatilities_Resets!$Q44)),IF(CG55&gt;=CI$6,IF(CG55&lt;CJ$6,(((Volatilities_Resets!$Q44-Volatilities_Resets!$O44)/50)*((Calculator!CG55-Calculator!CI$6)*10000)+Volatilities_Resets!$O44)),IF(CG55&gt;=CI$5,IF(CG55&lt;CJ$5,(((Volatilities_Resets!$O44-Volatilities_Resets!$M44)/50)*((Calculator!CG55-Calculator!CI$5)*10000)+Volatilities_Resets!$M44)),IF(CG55&gt;=CI$4,IF(CG55&lt;CJ$4,(((Volatilities_Resets!$M44-Volatilities_Resets!$K44)/50)*((Calculator!CG55-Calculator!CI$4)*10000)+Volatilities_Resets!$K44)),IF(CG55&gt;=CI$3,IF(CG55&lt;CJ$3,(((Volatilities_Resets!$K44-Volatilities_Resets!$I44)/50)*((Calculator!CG55-Calculator!CI$3)*10000)+Volatilities_Resets!$I44)),IF(CG55&gt;=CI$2,IF(CG55&lt;CJ$2,(((Volatilities_Resets!$I44-Volatilities_Resets!$G44)/50)*((Calculator!CG55-Calculator!CI$2)*10000)+Volatilities_Resets!$G44)),"Well, something broke...")))))))))))/10000</f>
        <v>1.7955000000000002E-2</v>
      </c>
      <c r="CJ55" s="63">
        <f t="shared" ca="1" si="41"/>
        <v>5842.0600966732391</v>
      </c>
      <c r="CK55" s="63">
        <f t="shared" ca="1" si="42"/>
        <v>2.3730621398200571E-4</v>
      </c>
      <c r="CL55" s="63">
        <f t="shared" ca="1" si="48"/>
        <v>155580.11216712042</v>
      </c>
      <c r="CO55" s="63">
        <f t="shared" ca="1" si="43"/>
        <v>80.437795004030633</v>
      </c>
      <c r="CP55" s="63">
        <f ca="1">SUM($CO$15:CO55)</f>
        <v>2186.0195966945803</v>
      </c>
      <c r="CR55" s="52">
        <f ca="1">EXP(-AVERAGE(CH$15:CH55)*CE55)</f>
        <v>0.88788090379664464</v>
      </c>
      <c r="CT55"/>
      <c r="CU55"/>
      <c r="CV55"/>
      <c r="CW55"/>
      <c r="CX55"/>
      <c r="CY55"/>
      <c r="CZ55"/>
      <c r="DA55"/>
      <c r="DB55"/>
      <c r="DC55"/>
      <c r="DD55"/>
      <c r="DE55"/>
      <c r="DF55"/>
      <c r="DG55"/>
      <c r="DH55"/>
      <c r="DI55"/>
      <c r="DJ55"/>
      <c r="DK55"/>
      <c r="DL55"/>
    </row>
    <row r="56" spans="2:116" ht="15.75" customHeight="1">
      <c r="B56" s="52">
        <v>4</v>
      </c>
      <c r="C56" s="52">
        <f t="shared" ca="1" si="49"/>
        <v>42</v>
      </c>
      <c r="D56" s="71">
        <f t="shared" ca="1" si="16"/>
        <v>46257</v>
      </c>
      <c r="E56" s="71">
        <f t="shared" ca="1" si="50"/>
        <v>46288</v>
      </c>
      <c r="F56" s="72">
        <f t="shared" ca="1" si="51"/>
        <v>31</v>
      </c>
      <c r="G56" s="73">
        <f ca="1">SUM($F$15:F56)/360</f>
        <v>3.5555555555555554</v>
      </c>
      <c r="H56" s="74">
        <f t="shared" si="2"/>
        <v>25000000</v>
      </c>
      <c r="I56" s="59">
        <f>IF('Cap Pricer'!$E$22=DataValidation!$C$2,'Cap Pricer'!$E$23,IF('Cap Pricer'!$E$22=DataValidation!$C$3,VLOOKUP($B56,'Cap Pricer'!$C$25:$E$31,3),""))</f>
        <v>0.02</v>
      </c>
      <c r="J56" s="57">
        <f>Volatilities_Resets!$E45*0.01</f>
        <v>2.81981E-2</v>
      </c>
      <c r="K56" s="61">
        <f>IF(I56=L$11,Volatilities_Resets!$AA45,IF(I56&gt;=K$11,IF(I56&lt;L$11,(((Volatilities_Resets!$AA45-Volatilities_Resets!$Y45)/50)*((Calculator!I56-Calculator!K$11)*10000)+Volatilities_Resets!$Y45)),IF(I56&gt;=K$10,IF(I56&lt;L$10,(((Volatilities_Resets!$Y45-Volatilities_Resets!$W45)/50)*((Calculator!I56-Calculator!K$10)*10000)+Volatilities_Resets!$W45)),IF(I56&gt;=K$9,IF(I56&lt;L$9,(((Volatilities_Resets!$W45-Volatilities_Resets!$U45)/50)*((Calculator!I56-Calculator!K$9)*10000)+Volatilities_Resets!$U45)),IF(I56&gt;=K$8,IF(I56&lt;L$8,(((Volatilities_Resets!$U45-Volatilities_Resets!$S45)/50)*((Calculator!I56-Calculator!K$8)*10000)+Volatilities_Resets!$S45)),IF(I56&gt;=K$7,IF(I56&lt;L$7,(((Volatilities_Resets!$S45-Volatilities_Resets!$Q45)/50)*((Calculator!I56-Calculator!K$7)*10000)+Volatilities_Resets!$Q45)),IF(I56&gt;=K$6,IF(I56&lt;L$6,(((Volatilities_Resets!$Q45-Volatilities_Resets!$O45)/50)*((Calculator!I56-Calculator!K$6)*10000)+Volatilities_Resets!$O45)),IF(I56&gt;=K$5,IF(I56&lt;L$5,(((Volatilities_Resets!$O45-Volatilities_Resets!$M45)/50)*((Calculator!I56-Calculator!K$5)*10000)+Volatilities_Resets!$M45)),IF(I56&gt;=K$4,IF(I56&lt;L$4,(((Volatilities_Resets!$M45-Volatilities_Resets!$K45)/50)*((Calculator!I56-Calculator!K$4)*10000)+Volatilities_Resets!$K45)),IF(I56&gt;=K$3,IF(I56&lt;L$3,(((Volatilities_Resets!$K45-Volatilities_Resets!$I45)/50)*((Calculator!I56-Calculator!K$3)*10000)+Volatilities_Resets!$I45)),IF(I56&gt;=K$2,IF(I56&lt;L$2,(((Volatilities_Resets!$I45-Volatilities_Resets!$G45)/50)*((Calculator!I56-Calculator!K$2)*10000)+Volatilities_Resets!$G45)),"Well, something broke...")))))))))))/10000</f>
        <v>1.3502999999999999E-2</v>
      </c>
      <c r="L56" s="47">
        <f t="shared" ca="1" si="17"/>
        <v>28179.490242964508</v>
      </c>
      <c r="M56" s="63">
        <f t="shared" ca="1" si="18"/>
        <v>1.1326293135413554E-3</v>
      </c>
      <c r="N56" s="63">
        <f t="shared" ca="1" si="44"/>
        <v>1595161.8650843902</v>
      </c>
      <c r="Q56" s="63">
        <f t="shared" ca="1" si="19"/>
        <v>120.67275919983501</v>
      </c>
      <c r="R56" s="63">
        <f ca="1">SUM($Q$15:Q56)</f>
        <v>3318.0354220491995</v>
      </c>
      <c r="T56" s="52">
        <f ca="1">EXP(-AVERAGE(J$15:J56)*G56)</f>
        <v>0.88571976110354578</v>
      </c>
      <c r="U56" s="57"/>
      <c r="V56" s="52">
        <f t="shared" ca="1" si="20"/>
        <v>42</v>
      </c>
      <c r="W56" s="71">
        <f t="shared" ca="1" si="21"/>
        <v>46257</v>
      </c>
      <c r="X56" s="71">
        <f t="shared" ca="1" si="3"/>
        <v>46288</v>
      </c>
      <c r="Y56" s="72">
        <f t="shared" ca="1" si="4"/>
        <v>31</v>
      </c>
      <c r="Z56" s="73">
        <f ca="1">SUM(Y$15:Y56)/360</f>
        <v>3.5555555555555554</v>
      </c>
      <c r="AA56" s="74">
        <f t="shared" si="22"/>
        <v>25000000</v>
      </c>
      <c r="AB56" s="59">
        <f t="shared" si="23"/>
        <v>0.03</v>
      </c>
      <c r="AC56" s="57">
        <f>Volatilities_Resets!$E45*0.01</f>
        <v>2.81981E-2</v>
      </c>
      <c r="AD56" s="61">
        <f>IF(AB56=AE$11,Volatilities_Resets!$AA45,IF(AB56&gt;=AD$11,IF(AB56&lt;AE$11,(((Volatilities_Resets!$AA45-Volatilities_Resets!$Y45)/50)*((Calculator!AB56-Calculator!AD$11)*10000)+Volatilities_Resets!$Y45)),IF(AB56&gt;=AD$10,IF(AB56&lt;AE$10,(((Volatilities_Resets!$Y45-Volatilities_Resets!$W45)/50)*((Calculator!AB56-Calculator!AD$10)*10000)+Volatilities_Resets!$W45)),IF(AB56&gt;=AD$9,IF(AB56&lt;AE$9,(((Volatilities_Resets!$W45-Volatilities_Resets!$U45)/50)*((Calculator!AB56-Calculator!AD$9)*10000)+Volatilities_Resets!$U45)),IF(AB56&gt;=AD$8,IF(AB56&lt;AE$8,(((Volatilities_Resets!$U45-Volatilities_Resets!$S45)/50)*((Calculator!AB56-Calculator!AD$8)*10000)+Volatilities_Resets!$S45)),IF(AB56&gt;=AD$7,IF(AB56&lt;AE$7,(((Volatilities_Resets!$S45-Volatilities_Resets!$Q45)/50)*((Calculator!AB56-Calculator!AD$7)*10000)+Volatilities_Resets!$Q45)),IF(AB56&gt;=AD$6,IF(AB56&lt;AE$6,(((Volatilities_Resets!$Q45-Volatilities_Resets!$O45)/50)*((Calculator!AB56-Calculator!AD$6)*10000)+Volatilities_Resets!$O45)),IF(AB56&gt;=AD$5,IF(AB56&lt;AE$5,(((Volatilities_Resets!$O45-Volatilities_Resets!$M45)/50)*((Calculator!AB56-Calculator!AD$5)*10000)+Volatilities_Resets!$M45)),IF(AB56&gt;=AD$4,IF(AB56&lt;AE$4,(((Volatilities_Resets!$M45-Volatilities_Resets!$K45)/50)*((Calculator!AB56-Calculator!AD$4)*10000)+Volatilities_Resets!$K45)),IF(AB56&gt;=AD$3,IF(AB56&lt;AE$3,(((Volatilities_Resets!$K45-Volatilities_Resets!$I45)/50)*((Calculator!AB56-Calculator!AD$3)*10000)+Volatilities_Resets!$I45)),IF(AB56&gt;=AD$2,IF(AB56&lt;AE$2,(((Volatilities_Resets!$I45-Volatilities_Resets!$G45)/50)*((Calculator!AB56-Calculator!AD$2)*10000)+Volatilities_Resets!$G45)),"Well, something broke...")))))))))))/10000</f>
        <v>1.4006999999999999E-2</v>
      </c>
      <c r="AE56" s="63">
        <f t="shared" ca="1" si="24"/>
        <v>18419.979176096298</v>
      </c>
      <c r="AF56" s="63">
        <f t="shared" ca="1" si="25"/>
        <v>7.4252338026029778E-4</v>
      </c>
      <c r="AG56" s="63">
        <f t="shared" ca="1" si="45"/>
        <v>1054921.1998349584</v>
      </c>
      <c r="AJ56" s="63">
        <f t="shared" ca="1" si="26"/>
        <v>126.75121906440398</v>
      </c>
      <c r="AK56" s="63">
        <f ca="1">SUM($AJ$15:AJ56)</f>
        <v>3673.0757014252827</v>
      </c>
      <c r="AM56" s="52">
        <f ca="1">EXP(-AVERAGE(AC$15:AC56)*Z56)</f>
        <v>0.88571976110354578</v>
      </c>
      <c r="AO56" s="52">
        <f t="shared" ca="1" si="27"/>
        <v>42</v>
      </c>
      <c r="AP56" s="71">
        <f t="shared" ca="1" si="28"/>
        <v>46257</v>
      </c>
      <c r="AQ56" s="71">
        <f t="shared" ca="1" si="5"/>
        <v>46288</v>
      </c>
      <c r="AR56" s="72">
        <f t="shared" ca="1" si="6"/>
        <v>31</v>
      </c>
      <c r="AS56" s="73">
        <f ca="1">SUM(AR$15:AR56)/360</f>
        <v>3.5555555555555554</v>
      </c>
      <c r="AT56" s="74">
        <f t="shared" si="7"/>
        <v>25000000</v>
      </c>
      <c r="AU56" s="59">
        <f t="shared" si="29"/>
        <v>0.04</v>
      </c>
      <c r="AV56" s="57">
        <f>Volatilities_Resets!$E45*0.01</f>
        <v>2.81981E-2</v>
      </c>
      <c r="AW56" s="61">
        <f>IF(AU56=AX$11,Volatilities_Resets!$AA45,IF(AU56&gt;=AW$11,IF(AU56&lt;AX$11,(((Volatilities_Resets!$AA45-Volatilities_Resets!$Y45)/50)*((Calculator!AU56-Calculator!AW$11)*10000)+Volatilities_Resets!$Y45)),IF(AU56&gt;=AW$10,IF(AU56&lt;AX$10,(((Volatilities_Resets!$Y45-Volatilities_Resets!$W45)/50)*((Calculator!AU56-Calculator!AW$10)*10000)+Volatilities_Resets!$W45)),IF(AU56&gt;=AW$9,IF(AU56&lt;AX$9,(((Volatilities_Resets!$W45-Volatilities_Resets!$U45)/50)*((Calculator!AU56-Calculator!AW$9)*10000)+Volatilities_Resets!$U45)),IF(AU56&gt;=AW$8,IF(AU56&lt;AX$8,(((Volatilities_Resets!$U45-Volatilities_Resets!$S45)/50)*((Calculator!AU56-Calculator!AW$8)*10000)+Volatilities_Resets!$S45)),IF(AU56&gt;=AW$7,IF(AU56&lt;AX$7,(((Volatilities_Resets!$S45-Volatilities_Resets!$Q45)/50)*((Calculator!AU56-Calculator!AW$7)*10000)+Volatilities_Resets!$Q45)),IF(AU56&gt;=AW$6,IF(AU56&lt;AX$6,(((Volatilities_Resets!$Q45-Volatilities_Resets!$O45)/50)*((Calculator!AU56-Calculator!AW$6)*10000)+Volatilities_Resets!$O45)),IF(AU56&gt;=AW$5,IF(AU56&lt;AX$5,(((Volatilities_Resets!$O45-Volatilities_Resets!$M45)/50)*((Calculator!AU56-Calculator!AW$5)*10000)+Volatilities_Resets!$M45)),IF(AU56&gt;=AW$4,IF(AU56&lt;AX$4,(((Volatilities_Resets!$M45-Volatilities_Resets!$K45)/50)*((Calculator!AU56-Calculator!AW$4)*10000)+Volatilities_Resets!$K45)),IF(AU56&gt;=AW$3,IF(AU56&lt;AX$3,(((Volatilities_Resets!$K45-Volatilities_Resets!$I45)/50)*((Calculator!AU56-Calculator!AW$3)*10000)+Volatilities_Resets!$I45)),IF(AU56&gt;=AW$2,IF(AU56&lt;AX$2,(((Volatilities_Resets!$I45-Volatilities_Resets!$G45)/50)*((Calculator!AU56-Calculator!AW$2)*10000)+Volatilities_Resets!$G45)),"Well, something broke...")))))))))))/10000</f>
        <v>1.5022000000000001E-2</v>
      </c>
      <c r="AX56" s="63">
        <f t="shared" ca="1" si="30"/>
        <v>12138.981044864915</v>
      </c>
      <c r="AY56" s="63">
        <f t="shared" ca="1" si="31"/>
        <v>4.9082271767371454E-4</v>
      </c>
      <c r="AZ56" s="63">
        <f t="shared" ca="1" si="46"/>
        <v>625841.73307710839</v>
      </c>
      <c r="BC56" s="63">
        <f t="shared" ca="1" si="8"/>
        <v>116.5491149556654</v>
      </c>
      <c r="BD56" s="63">
        <f ca="1">SUM($BC$15:BC56)</f>
        <v>3604.0224376697802</v>
      </c>
      <c r="BF56" s="52">
        <f ca="1">EXP(-AVERAGE(AV$15:AV56)*AS56)</f>
        <v>0.88571976110354578</v>
      </c>
      <c r="BH56" s="52">
        <f t="shared" ca="1" si="32"/>
        <v>42</v>
      </c>
      <c r="BI56" s="71">
        <f t="shared" ca="1" si="33"/>
        <v>46257</v>
      </c>
      <c r="BJ56" s="71">
        <f t="shared" ca="1" si="9"/>
        <v>46288</v>
      </c>
      <c r="BK56" s="72">
        <f t="shared" ca="1" si="10"/>
        <v>31</v>
      </c>
      <c r="BL56" s="73">
        <f ca="1">SUM(BK$15:BK56)/360</f>
        <v>3.5555555555555554</v>
      </c>
      <c r="BM56" s="74">
        <f t="shared" si="11"/>
        <v>25000000</v>
      </c>
      <c r="BN56" s="59">
        <f t="shared" si="34"/>
        <v>0.05</v>
      </c>
      <c r="BO56" s="57">
        <f>Volatilities_Resets!$E45*0.01</f>
        <v>2.81981E-2</v>
      </c>
      <c r="BP56" s="61">
        <f>IF(BN56=BQ$11,Volatilities_Resets!$AA45,IF(BN56&gt;=BP$11,IF(BN56&lt;BQ$11,(((Volatilities_Resets!$AA45-Volatilities_Resets!$Y45)/50)*((Calculator!BN56-Calculator!BP$11)*10000)+Volatilities_Resets!$Y45)),IF(BN56&gt;=BP$10,IF(BN56&lt;BQ$10,(((Volatilities_Resets!$Y45-Volatilities_Resets!$W45)/50)*((Calculator!BN56-Calculator!BP$10)*10000)+Volatilities_Resets!$W45)),IF(BN56&gt;=BP$9,IF(BN56&lt;BQ$9,(((Volatilities_Resets!$W45-Volatilities_Resets!$U45)/50)*((Calculator!BN56-Calculator!BP$9)*10000)+Volatilities_Resets!$U45)),IF(BN56&gt;=BP$8,IF(BN56&lt;BQ$8,(((Volatilities_Resets!$U45-Volatilities_Resets!$S45)/50)*((Calculator!BN56-Calculator!BP$8)*10000)+Volatilities_Resets!$S45)),IF(BN56&gt;=BP$7,IF(BN56&lt;BQ$7,(((Volatilities_Resets!$S45-Volatilities_Resets!$Q45)/50)*((Calculator!BN56-Calculator!BP$7)*10000)+Volatilities_Resets!$Q45)),IF(BN56&gt;=BP$6,IF(BN56&lt;BQ$6,(((Volatilities_Resets!$Q45-Volatilities_Resets!$O45)/50)*((Calculator!BN56-Calculator!BP$6)*10000)+Volatilities_Resets!$O45)),IF(BN56&gt;=BP$5,IF(BN56&lt;BQ$5,(((Volatilities_Resets!$O45-Volatilities_Resets!$M45)/50)*((Calculator!BN56-Calculator!BP$5)*10000)+Volatilities_Resets!$M45)),IF(BN56&gt;=BP$4,IF(BN56&lt;BQ$4,(((Volatilities_Resets!$M45-Volatilities_Resets!$K45)/50)*((Calculator!BN56-Calculator!BP$4)*10000)+Volatilities_Resets!$K45)),IF(BN56&gt;=BP$3,IF(BN56&lt;BQ$3,(((Volatilities_Resets!$K45-Volatilities_Resets!$I45)/50)*((Calculator!BN56-Calculator!BP$3)*10000)+Volatilities_Resets!$I45)),IF(BN56&gt;=BP$2,IF(BN56&lt;BQ$2,(((Volatilities_Resets!$I45-Volatilities_Resets!$G45)/50)*((Calculator!BN56-Calculator!BP$2)*10000)+Volatilities_Resets!$G45)),"Well, something broke...")))))))))))/10000</f>
        <v>1.6392E-2</v>
      </c>
      <c r="BQ56" s="63">
        <f t="shared" ca="1" si="35"/>
        <v>8344.6279154563636</v>
      </c>
      <c r="BR56" s="63">
        <f t="shared" ca="1" si="36"/>
        <v>3.3826573333178042E-4</v>
      </c>
      <c r="BS56" s="63">
        <f t="shared" ca="1" si="47"/>
        <v>315504.12155037036</v>
      </c>
      <c r="BV56" s="63">
        <f t="shared" ca="1" si="37"/>
        <v>99.214269127516829</v>
      </c>
      <c r="BW56" s="63">
        <f ca="1">SUM($BV$15:BV56)</f>
        <v>3102.4938177318136</v>
      </c>
      <c r="BY56" s="52">
        <f ca="1">EXP(-AVERAGE(BO$15:BO56)*BL56)</f>
        <v>0.88571976110354578</v>
      </c>
      <c r="CA56" s="52">
        <f t="shared" ca="1" si="38"/>
        <v>42</v>
      </c>
      <c r="CB56" s="71">
        <f t="shared" ca="1" si="39"/>
        <v>46257</v>
      </c>
      <c r="CC56" s="71">
        <f t="shared" ca="1" si="12"/>
        <v>46288</v>
      </c>
      <c r="CD56" s="72">
        <f t="shared" ca="1" si="13"/>
        <v>31</v>
      </c>
      <c r="CE56" s="73">
        <f ca="1">SUM(CD$15:CD56)/360</f>
        <v>3.5555555555555554</v>
      </c>
      <c r="CF56" s="74">
        <f t="shared" si="14"/>
        <v>25000000</v>
      </c>
      <c r="CG56" s="59">
        <f t="shared" si="40"/>
        <v>0.06</v>
      </c>
      <c r="CH56" s="57">
        <f>Volatilities_Resets!$E45*0.01</f>
        <v>2.81981E-2</v>
      </c>
      <c r="CI56" s="61">
        <f>IF(CG56=CJ$11,Volatilities_Resets!$AA45,IF(CG56&gt;=CI$11,IF(CG56&lt;CJ$11,(((Volatilities_Resets!$AA45-Volatilities_Resets!$Y45)/50)*((Calculator!CG56-Calculator!CI$11)*10000)+Volatilities_Resets!$Y45)),IF(CG56&gt;=CI$10,IF(CG56&lt;CJ$10,(((Volatilities_Resets!$Y45-Volatilities_Resets!$W45)/50)*((Calculator!CG56-Calculator!CI$10)*10000)+Volatilities_Resets!$W45)),IF(CG56&gt;=CI$9,IF(CG56&lt;CJ$9,(((Volatilities_Resets!$W45-Volatilities_Resets!$U45)/50)*((Calculator!CG56-Calculator!CI$9)*10000)+Volatilities_Resets!$U45)),IF(CG56&gt;=CI$8,IF(CG56&lt;CJ$8,(((Volatilities_Resets!$U45-Volatilities_Resets!$S45)/50)*((Calculator!CG56-Calculator!CI$8)*10000)+Volatilities_Resets!$S45)),IF(CG56&gt;=CI$7,IF(CG56&lt;CJ$7,(((Volatilities_Resets!$S45-Volatilities_Resets!$Q45)/50)*((Calculator!CG56-Calculator!CI$7)*10000)+Volatilities_Resets!$Q45)),IF(CG56&gt;=CI$6,IF(CG56&lt;CJ$6,(((Volatilities_Resets!$Q45-Volatilities_Resets!$O45)/50)*((Calculator!CG56-Calculator!CI$6)*10000)+Volatilities_Resets!$O45)),IF(CG56&gt;=CI$5,IF(CG56&lt;CJ$5,(((Volatilities_Resets!$O45-Volatilities_Resets!$M45)/50)*((Calculator!CG56-Calculator!CI$5)*10000)+Volatilities_Resets!$M45)),IF(CG56&gt;=CI$4,IF(CG56&lt;CJ$4,(((Volatilities_Resets!$M45-Volatilities_Resets!$K45)/50)*((Calculator!CG56-Calculator!CI$4)*10000)+Volatilities_Resets!$K45)),IF(CG56&gt;=CI$3,IF(CG56&lt;CJ$3,(((Volatilities_Resets!$K45-Volatilities_Resets!$I45)/50)*((Calculator!CG56-Calculator!CI$3)*10000)+Volatilities_Resets!$I45)),IF(CG56&gt;=CI$2,IF(CG56&lt;CJ$2,(((Volatilities_Resets!$I45-Volatilities_Resets!$G45)/50)*((Calculator!CG56-Calculator!CI$2)*10000)+Volatilities_Resets!$G45)),"Well, something broke...")))))))))))/10000</f>
        <v>1.7955000000000002E-2</v>
      </c>
      <c r="CJ56" s="63">
        <f t="shared" ca="1" si="41"/>
        <v>6029.3112525582001</v>
      </c>
      <c r="CK56" s="63">
        <f t="shared" ca="1" si="42"/>
        <v>2.448723230646726E-4</v>
      </c>
      <c r="CL56" s="63">
        <f t="shared" ca="1" si="48"/>
        <v>161609.42341967861</v>
      </c>
      <c r="CO56" s="63">
        <f t="shared" ca="1" si="43"/>
        <v>81.926264908033232</v>
      </c>
      <c r="CP56" s="63">
        <f ca="1">SUM($CO$15:CO56)</f>
        <v>2267.9458616026136</v>
      </c>
      <c r="CR56" s="52">
        <f ca="1">EXP(-AVERAGE(CH$15:CH56)*CE56)</f>
        <v>0.88571976110354578</v>
      </c>
      <c r="CT56"/>
      <c r="CU56"/>
      <c r="CV56"/>
      <c r="CW56"/>
      <c r="CX56"/>
      <c r="CY56"/>
      <c r="CZ56"/>
      <c r="DA56"/>
      <c r="DB56"/>
      <c r="DC56"/>
      <c r="DD56"/>
      <c r="DE56"/>
      <c r="DF56"/>
      <c r="DG56"/>
      <c r="DH56"/>
      <c r="DI56"/>
      <c r="DJ56"/>
      <c r="DK56"/>
      <c r="DL56"/>
    </row>
    <row r="57" spans="2:116" ht="15.75" customHeight="1">
      <c r="B57" s="52">
        <v>4</v>
      </c>
      <c r="C57" s="52">
        <f t="shared" ca="1" si="49"/>
        <v>43</v>
      </c>
      <c r="D57" s="71">
        <f t="shared" ca="1" si="16"/>
        <v>46288</v>
      </c>
      <c r="E57" s="71">
        <f t="shared" ca="1" si="50"/>
        <v>46318</v>
      </c>
      <c r="F57" s="72">
        <f t="shared" ca="1" si="51"/>
        <v>30</v>
      </c>
      <c r="G57" s="73">
        <f ca="1">SUM($F$15:F57)/360</f>
        <v>3.6388888888888888</v>
      </c>
      <c r="H57" s="74">
        <f t="shared" si="2"/>
        <v>25000000</v>
      </c>
      <c r="I57" s="59">
        <f>IF('Cap Pricer'!$E$22=DataValidation!$C$2,'Cap Pricer'!$E$23,IF('Cap Pricer'!$E$22=DataValidation!$C$3,VLOOKUP($B57,'Cap Pricer'!$C$25:$E$31,3),""))</f>
        <v>0.02</v>
      </c>
      <c r="J57" s="57">
        <f>Volatilities_Resets!$E46*0.01</f>
        <v>2.8195899999999999E-2</v>
      </c>
      <c r="K57" s="61">
        <f>IF(I57=L$11,Volatilities_Resets!$AA46,IF(I57&gt;=K$11,IF(I57&lt;L$11,(((Volatilities_Resets!$AA46-Volatilities_Resets!$Y46)/50)*((Calculator!I57-Calculator!K$11)*10000)+Volatilities_Resets!$Y46)),IF(I57&gt;=K$10,IF(I57&lt;L$10,(((Volatilities_Resets!$Y46-Volatilities_Resets!$W46)/50)*((Calculator!I57-Calculator!K$10)*10000)+Volatilities_Resets!$W46)),IF(I57&gt;=K$9,IF(I57&lt;L$9,(((Volatilities_Resets!$W46-Volatilities_Resets!$U46)/50)*((Calculator!I57-Calculator!K$9)*10000)+Volatilities_Resets!$U46)),IF(I57&gt;=K$8,IF(I57&lt;L$8,(((Volatilities_Resets!$U46-Volatilities_Resets!$S46)/50)*((Calculator!I57-Calculator!K$8)*10000)+Volatilities_Resets!$S46)),IF(I57&gt;=K$7,IF(I57&lt;L$7,(((Volatilities_Resets!$S46-Volatilities_Resets!$Q46)/50)*((Calculator!I57-Calculator!K$7)*10000)+Volatilities_Resets!$Q46)),IF(I57&gt;=K$6,IF(I57&lt;L$6,(((Volatilities_Resets!$Q46-Volatilities_Resets!$O46)/50)*((Calculator!I57-Calculator!K$6)*10000)+Volatilities_Resets!$O46)),IF(I57&gt;=K$5,IF(I57&lt;L$5,(((Volatilities_Resets!$O46-Volatilities_Resets!$M46)/50)*((Calculator!I57-Calculator!K$5)*10000)+Volatilities_Resets!$M46)),IF(I57&gt;=K$4,IF(I57&lt;L$4,(((Volatilities_Resets!$M46-Volatilities_Resets!$K46)/50)*((Calculator!I57-Calculator!K$4)*10000)+Volatilities_Resets!$K46)),IF(I57&gt;=K$3,IF(I57&lt;L$3,(((Volatilities_Resets!$K46-Volatilities_Resets!$I46)/50)*((Calculator!I57-Calculator!K$3)*10000)+Volatilities_Resets!$I46)),IF(I57&gt;=K$2,IF(I57&lt;L$2,(((Volatilities_Resets!$I46-Volatilities_Resets!$G46)/50)*((Calculator!I57-Calculator!K$2)*10000)+Volatilities_Resets!$G46)),"Well, something broke...")))))))))))/10000</f>
        <v>1.3503999999999999E-2</v>
      </c>
      <c r="L57" s="47">
        <f t="shared" ca="1" si="17"/>
        <v>27412.467775821671</v>
      </c>
      <c r="M57" s="63">
        <f t="shared" ca="1" si="18"/>
        <v>1.1018280420729042E-3</v>
      </c>
      <c r="N57" s="63">
        <f t="shared" ca="1" si="44"/>
        <v>1622574.3328602118</v>
      </c>
      <c r="Q57" s="63">
        <f t="shared" ca="1" si="19"/>
        <v>117.73129671697707</v>
      </c>
      <c r="R57" s="63">
        <f ca="1">SUM($Q$15:Q57)</f>
        <v>3435.7667187661764</v>
      </c>
      <c r="T57" s="52">
        <f ca="1">EXP(-AVERAGE(J$15:J57)*G57)</f>
        <v>0.883647841220639</v>
      </c>
      <c r="U57" s="57"/>
      <c r="V57" s="52">
        <f t="shared" ca="1" si="20"/>
        <v>43</v>
      </c>
      <c r="W57" s="71">
        <f t="shared" ca="1" si="21"/>
        <v>46288</v>
      </c>
      <c r="X57" s="71">
        <f t="shared" ca="1" si="3"/>
        <v>46318</v>
      </c>
      <c r="Y57" s="72">
        <f t="shared" ca="1" si="4"/>
        <v>30</v>
      </c>
      <c r="Z57" s="73">
        <f ca="1">SUM(Y$15:Y57)/360</f>
        <v>3.6388888888888888</v>
      </c>
      <c r="AA57" s="74">
        <f t="shared" si="22"/>
        <v>25000000</v>
      </c>
      <c r="AB57" s="59">
        <f t="shared" si="23"/>
        <v>0.03</v>
      </c>
      <c r="AC57" s="57">
        <f>Volatilities_Resets!$E46*0.01</f>
        <v>2.8195899999999999E-2</v>
      </c>
      <c r="AD57" s="61">
        <f>IF(AB57=AE$11,Volatilities_Resets!$AA46,IF(AB57&gt;=AD$11,IF(AB57&lt;AE$11,(((Volatilities_Resets!$AA46-Volatilities_Resets!$Y46)/50)*((Calculator!AB57-Calculator!AD$11)*10000)+Volatilities_Resets!$Y46)),IF(AB57&gt;=AD$10,IF(AB57&lt;AE$10,(((Volatilities_Resets!$Y46-Volatilities_Resets!$W46)/50)*((Calculator!AB57-Calculator!AD$10)*10000)+Volatilities_Resets!$W46)),IF(AB57&gt;=AD$9,IF(AB57&lt;AE$9,(((Volatilities_Resets!$W46-Volatilities_Resets!$U46)/50)*((Calculator!AB57-Calculator!AD$9)*10000)+Volatilities_Resets!$U46)),IF(AB57&gt;=AD$8,IF(AB57&lt;AE$8,(((Volatilities_Resets!$U46-Volatilities_Resets!$S46)/50)*((Calculator!AB57-Calculator!AD$8)*10000)+Volatilities_Resets!$S46)),IF(AB57&gt;=AD$7,IF(AB57&lt;AE$7,(((Volatilities_Resets!$S46-Volatilities_Resets!$Q46)/50)*((Calculator!AB57-Calculator!AD$7)*10000)+Volatilities_Resets!$Q46)),IF(AB57&gt;=AD$6,IF(AB57&lt;AE$6,(((Volatilities_Resets!$Q46-Volatilities_Resets!$O46)/50)*((Calculator!AB57-Calculator!AD$6)*10000)+Volatilities_Resets!$O46)),IF(AB57&gt;=AD$5,IF(AB57&lt;AE$5,(((Volatilities_Resets!$O46-Volatilities_Resets!$M46)/50)*((Calculator!AB57-Calculator!AD$5)*10000)+Volatilities_Resets!$M46)),IF(AB57&gt;=AD$4,IF(AB57&lt;AE$4,(((Volatilities_Resets!$M46-Volatilities_Resets!$K46)/50)*((Calculator!AB57-Calculator!AD$4)*10000)+Volatilities_Resets!$K46)),IF(AB57&gt;=AD$3,IF(AB57&lt;AE$3,(((Volatilities_Resets!$K46-Volatilities_Resets!$I46)/50)*((Calculator!AB57-Calculator!AD$3)*10000)+Volatilities_Resets!$I46)),IF(AB57&gt;=AD$2,IF(AB57&lt;AE$2,(((Volatilities_Resets!$I46-Volatilities_Resets!$G46)/50)*((Calculator!AB57-Calculator!AD$2)*10000)+Volatilities_Resets!$G46)),"Well, something broke...")))))))))))/10000</f>
        <v>1.4006999999999999E-2</v>
      </c>
      <c r="AE57" s="63">
        <f t="shared" ca="1" si="24"/>
        <v>18007.650475321192</v>
      </c>
      <c r="AF57" s="63">
        <f t="shared" ca="1" si="25"/>
        <v>7.2589727657023609E-4</v>
      </c>
      <c r="AG57" s="63">
        <f t="shared" ca="1" si="45"/>
        <v>1072928.8503102795</v>
      </c>
      <c r="AJ57" s="63">
        <f t="shared" ca="1" si="26"/>
        <v>123.51756675737082</v>
      </c>
      <c r="AK57" s="63">
        <f ca="1">SUM($AJ$15:AJ57)</f>
        <v>3796.5932681826534</v>
      </c>
      <c r="AM57" s="52">
        <f ca="1">EXP(-AVERAGE(AC$15:AC57)*Z57)</f>
        <v>0.883647841220639</v>
      </c>
      <c r="AO57" s="52">
        <f t="shared" ca="1" si="27"/>
        <v>43</v>
      </c>
      <c r="AP57" s="71">
        <f t="shared" ca="1" si="28"/>
        <v>46288</v>
      </c>
      <c r="AQ57" s="71">
        <f t="shared" ca="1" si="5"/>
        <v>46318</v>
      </c>
      <c r="AR57" s="72">
        <f t="shared" ca="1" si="6"/>
        <v>30</v>
      </c>
      <c r="AS57" s="73">
        <f ca="1">SUM(AR$15:AR57)/360</f>
        <v>3.6388888888888888</v>
      </c>
      <c r="AT57" s="74">
        <f t="shared" si="7"/>
        <v>25000000</v>
      </c>
      <c r="AU57" s="59">
        <f t="shared" si="29"/>
        <v>0.04</v>
      </c>
      <c r="AV57" s="57">
        <f>Volatilities_Resets!$E46*0.01</f>
        <v>2.8195899999999999E-2</v>
      </c>
      <c r="AW57" s="61">
        <f>IF(AU57=AX$11,Volatilities_Resets!$AA46,IF(AU57&gt;=AW$11,IF(AU57&lt;AX$11,(((Volatilities_Resets!$AA46-Volatilities_Resets!$Y46)/50)*((Calculator!AU57-Calculator!AW$11)*10000)+Volatilities_Resets!$Y46)),IF(AU57&gt;=AW$10,IF(AU57&lt;AX$10,(((Volatilities_Resets!$Y46-Volatilities_Resets!$W46)/50)*((Calculator!AU57-Calculator!AW$10)*10000)+Volatilities_Resets!$W46)),IF(AU57&gt;=AW$9,IF(AU57&lt;AX$9,(((Volatilities_Resets!$W46-Volatilities_Resets!$U46)/50)*((Calculator!AU57-Calculator!AW$9)*10000)+Volatilities_Resets!$U46)),IF(AU57&gt;=AW$8,IF(AU57&lt;AX$8,(((Volatilities_Resets!$U46-Volatilities_Resets!$S46)/50)*((Calculator!AU57-Calculator!AW$8)*10000)+Volatilities_Resets!$S46)),IF(AU57&gt;=AW$7,IF(AU57&lt;AX$7,(((Volatilities_Resets!$S46-Volatilities_Resets!$Q46)/50)*((Calculator!AU57-Calculator!AW$7)*10000)+Volatilities_Resets!$Q46)),IF(AU57&gt;=AW$6,IF(AU57&lt;AX$6,(((Volatilities_Resets!$Q46-Volatilities_Resets!$O46)/50)*((Calculator!AU57-Calculator!AW$6)*10000)+Volatilities_Resets!$O46)),IF(AU57&gt;=AW$5,IF(AU57&lt;AX$5,(((Volatilities_Resets!$O46-Volatilities_Resets!$M46)/50)*((Calculator!AU57-Calculator!AW$5)*10000)+Volatilities_Resets!$M46)),IF(AU57&gt;=AW$4,IF(AU57&lt;AX$4,(((Volatilities_Resets!$M46-Volatilities_Resets!$K46)/50)*((Calculator!AU57-Calculator!AW$4)*10000)+Volatilities_Resets!$K46)),IF(AU57&gt;=AW$3,IF(AU57&lt;AX$3,(((Volatilities_Resets!$K46-Volatilities_Resets!$I46)/50)*((Calculator!AU57-Calculator!AW$3)*10000)+Volatilities_Resets!$I46)),IF(AU57&gt;=AW$2,IF(AU57&lt;AX$2,(((Volatilities_Resets!$I46-Volatilities_Resets!$G46)/50)*((Calculator!AU57-Calculator!AW$2)*10000)+Volatilities_Resets!$G46)),"Well, something broke...")))))))))))/10000</f>
        <v>1.5022000000000001E-2</v>
      </c>
      <c r="AX57" s="63">
        <f t="shared" ca="1" si="30"/>
        <v>11940.989969619648</v>
      </c>
      <c r="AY57" s="63">
        <f t="shared" ca="1" si="31"/>
        <v>4.8279057639678656E-4</v>
      </c>
      <c r="AZ57" s="63">
        <f t="shared" ca="1" si="46"/>
        <v>637782.72304672806</v>
      </c>
      <c r="BC57" s="63">
        <f t="shared" ca="1" si="8"/>
        <v>113.79125617550473</v>
      </c>
      <c r="BD57" s="63">
        <f ca="1">SUM($BC$15:BC57)</f>
        <v>3717.8136938452849</v>
      </c>
      <c r="BF57" s="52">
        <f ca="1">EXP(-AVERAGE(AV$15:AV57)*AS57)</f>
        <v>0.883647841220639</v>
      </c>
      <c r="BH57" s="52">
        <f t="shared" ca="1" si="32"/>
        <v>43</v>
      </c>
      <c r="BI57" s="71">
        <f t="shared" ca="1" si="33"/>
        <v>46288</v>
      </c>
      <c r="BJ57" s="71">
        <f t="shared" ca="1" si="9"/>
        <v>46318</v>
      </c>
      <c r="BK57" s="72">
        <f t="shared" ca="1" si="10"/>
        <v>30</v>
      </c>
      <c r="BL57" s="73">
        <f ca="1">SUM(BK$15:BK57)/360</f>
        <v>3.6388888888888888</v>
      </c>
      <c r="BM57" s="74">
        <f t="shared" si="11"/>
        <v>25000000</v>
      </c>
      <c r="BN57" s="59">
        <f t="shared" si="34"/>
        <v>0.05</v>
      </c>
      <c r="BO57" s="57">
        <f>Volatilities_Resets!$E46*0.01</f>
        <v>2.8195899999999999E-2</v>
      </c>
      <c r="BP57" s="61">
        <f>IF(BN57=BQ$11,Volatilities_Resets!$AA46,IF(BN57&gt;=BP$11,IF(BN57&lt;BQ$11,(((Volatilities_Resets!$AA46-Volatilities_Resets!$Y46)/50)*((Calculator!BN57-Calculator!BP$11)*10000)+Volatilities_Resets!$Y46)),IF(BN57&gt;=BP$10,IF(BN57&lt;BQ$10,(((Volatilities_Resets!$Y46-Volatilities_Resets!$W46)/50)*((Calculator!BN57-Calculator!BP$10)*10000)+Volatilities_Resets!$W46)),IF(BN57&gt;=BP$9,IF(BN57&lt;BQ$9,(((Volatilities_Resets!$W46-Volatilities_Resets!$U46)/50)*((Calculator!BN57-Calculator!BP$9)*10000)+Volatilities_Resets!$U46)),IF(BN57&gt;=BP$8,IF(BN57&lt;BQ$8,(((Volatilities_Resets!$U46-Volatilities_Resets!$S46)/50)*((Calculator!BN57-Calculator!BP$8)*10000)+Volatilities_Resets!$S46)),IF(BN57&gt;=BP$7,IF(BN57&lt;BQ$7,(((Volatilities_Resets!$S46-Volatilities_Resets!$Q46)/50)*((Calculator!BN57-Calculator!BP$7)*10000)+Volatilities_Resets!$Q46)),IF(BN57&gt;=BP$6,IF(BN57&lt;BQ$6,(((Volatilities_Resets!$Q46-Volatilities_Resets!$O46)/50)*((Calculator!BN57-Calculator!BP$6)*10000)+Volatilities_Resets!$O46)),IF(BN57&gt;=BP$5,IF(BN57&lt;BQ$5,(((Volatilities_Resets!$O46-Volatilities_Resets!$M46)/50)*((Calculator!BN57-Calculator!BP$5)*10000)+Volatilities_Resets!$M46)),IF(BN57&gt;=BP$4,IF(BN57&lt;BQ$4,(((Volatilities_Resets!$M46-Volatilities_Resets!$K46)/50)*((Calculator!BN57-Calculator!BP$4)*10000)+Volatilities_Resets!$K46)),IF(BN57&gt;=BP$3,IF(BN57&lt;BQ$3,(((Volatilities_Resets!$K46-Volatilities_Resets!$I46)/50)*((Calculator!BN57-Calculator!BP$3)*10000)+Volatilities_Resets!$I46)),IF(BN57&gt;=BP$2,IF(BN57&lt;BQ$2,(((Volatilities_Resets!$I46-Volatilities_Resets!$G46)/50)*((Calculator!BN57-Calculator!BP$2)*10000)+Volatilities_Resets!$G46)),"Well, something broke...")))))))))))/10000</f>
        <v>1.6392E-2</v>
      </c>
      <c r="BQ57" s="63">
        <f t="shared" ca="1" si="35"/>
        <v>8262.3962215728225</v>
      </c>
      <c r="BR57" s="63">
        <f t="shared" ca="1" si="36"/>
        <v>3.3489682328207056E-4</v>
      </c>
      <c r="BS57" s="63">
        <f t="shared" ca="1" si="47"/>
        <v>323766.51777194318</v>
      </c>
      <c r="BV57" s="63">
        <f t="shared" ca="1" si="37"/>
        <v>97.222788618898164</v>
      </c>
      <c r="BW57" s="63">
        <f ca="1">SUM($BV$15:BV57)</f>
        <v>3199.7166063507116</v>
      </c>
      <c r="BY57" s="52">
        <f ca="1">EXP(-AVERAGE(BO$15:BO57)*BL57)</f>
        <v>0.883647841220639</v>
      </c>
      <c r="CA57" s="52">
        <f t="shared" ca="1" si="38"/>
        <v>43</v>
      </c>
      <c r="CB57" s="71">
        <f t="shared" ca="1" si="39"/>
        <v>46288</v>
      </c>
      <c r="CC57" s="71">
        <f t="shared" ca="1" si="12"/>
        <v>46318</v>
      </c>
      <c r="CD57" s="72">
        <f t="shared" ca="1" si="13"/>
        <v>30</v>
      </c>
      <c r="CE57" s="73">
        <f ca="1">SUM(CD$15:CD57)/360</f>
        <v>3.6388888888888888</v>
      </c>
      <c r="CF57" s="74">
        <f t="shared" si="14"/>
        <v>25000000</v>
      </c>
      <c r="CG57" s="59">
        <f t="shared" si="40"/>
        <v>0.06</v>
      </c>
      <c r="CH57" s="57">
        <f>Volatilities_Resets!$E46*0.01</f>
        <v>2.8195899999999999E-2</v>
      </c>
      <c r="CI57" s="61">
        <f>IF(CG57=CJ$11,Volatilities_Resets!$AA46,IF(CG57&gt;=CI$11,IF(CG57&lt;CJ$11,(((Volatilities_Resets!$AA46-Volatilities_Resets!$Y46)/50)*((Calculator!CG57-Calculator!CI$11)*10000)+Volatilities_Resets!$Y46)),IF(CG57&gt;=CI$10,IF(CG57&lt;CJ$10,(((Volatilities_Resets!$Y46-Volatilities_Resets!$W46)/50)*((Calculator!CG57-Calculator!CI$10)*10000)+Volatilities_Resets!$W46)),IF(CG57&gt;=CI$9,IF(CG57&lt;CJ$9,(((Volatilities_Resets!$W46-Volatilities_Resets!$U46)/50)*((Calculator!CG57-Calculator!CI$9)*10000)+Volatilities_Resets!$U46)),IF(CG57&gt;=CI$8,IF(CG57&lt;CJ$8,(((Volatilities_Resets!$U46-Volatilities_Resets!$S46)/50)*((Calculator!CG57-Calculator!CI$8)*10000)+Volatilities_Resets!$S46)),IF(CG57&gt;=CI$7,IF(CG57&lt;CJ$7,(((Volatilities_Resets!$S46-Volatilities_Resets!$Q46)/50)*((Calculator!CG57-Calculator!CI$7)*10000)+Volatilities_Resets!$Q46)),IF(CG57&gt;=CI$6,IF(CG57&lt;CJ$6,(((Volatilities_Resets!$Q46-Volatilities_Resets!$O46)/50)*((Calculator!CG57-Calculator!CI$6)*10000)+Volatilities_Resets!$O46)),IF(CG57&gt;=CI$5,IF(CG57&lt;CJ$5,(((Volatilities_Resets!$O46-Volatilities_Resets!$M46)/50)*((Calculator!CG57-Calculator!CI$5)*10000)+Volatilities_Resets!$M46)),IF(CG57&gt;=CI$4,IF(CG57&lt;CJ$4,(((Volatilities_Resets!$M46-Volatilities_Resets!$K46)/50)*((Calculator!CG57-Calculator!CI$4)*10000)+Volatilities_Resets!$K46)),IF(CG57&gt;=CI$3,IF(CG57&lt;CJ$3,(((Volatilities_Resets!$K46-Volatilities_Resets!$I46)/50)*((Calculator!CG57-Calculator!CI$3)*10000)+Volatilities_Resets!$I46)),IF(CG57&gt;=CI$2,IF(CG57&lt;CJ$2,(((Volatilities_Resets!$I46-Volatilities_Resets!$G46)/50)*((Calculator!CG57-Calculator!CI$2)*10000)+Volatilities_Resets!$G46)),"Well, something broke...")))))))))))/10000</f>
        <v>1.7955000000000002E-2</v>
      </c>
      <c r="CJ57" s="63">
        <f t="shared" ca="1" si="41"/>
        <v>6007.7627884202002</v>
      </c>
      <c r="CK57" s="63">
        <f t="shared" ca="1" si="42"/>
        <v>2.4396055045282787E-4</v>
      </c>
      <c r="CL57" s="63">
        <f t="shared" ca="1" si="48"/>
        <v>167617.18620809881</v>
      </c>
      <c r="CO57" s="63">
        <f t="shared" ca="1" si="43"/>
        <v>80.633725212806652</v>
      </c>
      <c r="CP57" s="63">
        <f ca="1">SUM($CO$15:CO57)</f>
        <v>2348.57958681542</v>
      </c>
      <c r="CR57" s="52">
        <f ca="1">EXP(-AVERAGE(CH$15:CH57)*CE57)</f>
        <v>0.883647841220639</v>
      </c>
      <c r="CT57"/>
      <c r="CU57"/>
      <c r="CV57"/>
      <c r="CW57"/>
      <c r="CX57"/>
      <c r="CY57"/>
      <c r="CZ57"/>
      <c r="DA57"/>
      <c r="DB57"/>
      <c r="DC57"/>
      <c r="DD57"/>
      <c r="DE57"/>
      <c r="DF57"/>
      <c r="DG57"/>
      <c r="DH57"/>
      <c r="DI57"/>
      <c r="DJ57"/>
      <c r="DK57"/>
      <c r="DL57"/>
    </row>
    <row r="58" spans="2:116" ht="15.75" customHeight="1">
      <c r="B58" s="52">
        <v>4</v>
      </c>
      <c r="C58" s="52">
        <f t="shared" ca="1" si="49"/>
        <v>44</v>
      </c>
      <c r="D58" s="71">
        <f t="shared" ca="1" si="16"/>
        <v>46318</v>
      </c>
      <c r="E58" s="71">
        <f t="shared" ca="1" si="50"/>
        <v>46349</v>
      </c>
      <c r="F58" s="72">
        <f t="shared" ca="1" si="51"/>
        <v>31</v>
      </c>
      <c r="G58" s="73">
        <f ca="1">SUM($F$15:F58)/360</f>
        <v>3.7250000000000001</v>
      </c>
      <c r="H58" s="74">
        <f t="shared" si="2"/>
        <v>25000000</v>
      </c>
      <c r="I58" s="59">
        <f>IF('Cap Pricer'!$E$22=DataValidation!$C$2,'Cap Pricer'!$E$23,IF('Cap Pricer'!$E$22=DataValidation!$C$3,VLOOKUP($B58,'Cap Pricer'!$C$25:$E$31,3),""))</f>
        <v>0.02</v>
      </c>
      <c r="J58" s="57">
        <f>Volatilities_Resets!$E47*0.01</f>
        <v>2.8195899999999999E-2</v>
      </c>
      <c r="K58" s="61">
        <f>IF(I58=L$11,Volatilities_Resets!$AA47,IF(I58&gt;=K$11,IF(I58&lt;L$11,(((Volatilities_Resets!$AA47-Volatilities_Resets!$Y47)/50)*((Calculator!I58-Calculator!K$11)*10000)+Volatilities_Resets!$Y47)),IF(I58&gt;=K$10,IF(I58&lt;L$10,(((Volatilities_Resets!$Y47-Volatilities_Resets!$W47)/50)*((Calculator!I58-Calculator!K$10)*10000)+Volatilities_Resets!$W47)),IF(I58&gt;=K$9,IF(I58&lt;L$9,(((Volatilities_Resets!$W47-Volatilities_Resets!$U47)/50)*((Calculator!I58-Calculator!K$9)*10000)+Volatilities_Resets!$U47)),IF(I58&gt;=K$8,IF(I58&lt;L$8,(((Volatilities_Resets!$U47-Volatilities_Resets!$S47)/50)*((Calculator!I58-Calculator!K$8)*10000)+Volatilities_Resets!$S47)),IF(I58&gt;=K$7,IF(I58&lt;L$7,(((Volatilities_Resets!$S47-Volatilities_Resets!$Q47)/50)*((Calculator!I58-Calculator!K$7)*10000)+Volatilities_Resets!$Q47)),IF(I58&gt;=K$6,IF(I58&lt;L$6,(((Volatilities_Resets!$Q47-Volatilities_Resets!$O47)/50)*((Calculator!I58-Calculator!K$6)*10000)+Volatilities_Resets!$O47)),IF(I58&gt;=K$5,IF(I58&lt;L$5,(((Volatilities_Resets!$O47-Volatilities_Resets!$M47)/50)*((Calculator!I58-Calculator!K$5)*10000)+Volatilities_Resets!$M47)),IF(I58&gt;=K$4,IF(I58&lt;L$4,(((Volatilities_Resets!$M47-Volatilities_Resets!$K47)/50)*((Calculator!I58-Calculator!K$4)*10000)+Volatilities_Resets!$K47)),IF(I58&gt;=K$3,IF(I58&lt;L$3,(((Volatilities_Resets!$K47-Volatilities_Resets!$I47)/50)*((Calculator!I58-Calculator!K$3)*10000)+Volatilities_Resets!$I47)),IF(I58&gt;=K$2,IF(I58&lt;L$2,(((Volatilities_Resets!$I47-Volatilities_Resets!$G47)/50)*((Calculator!I58-Calculator!K$2)*10000)+Volatilities_Resets!$G47)),"Well, something broke...")))))))))))/10000</f>
        <v>1.3503999999999999E-2</v>
      </c>
      <c r="L58" s="47">
        <f t="shared" ca="1" si="17"/>
        <v>28475.491958184521</v>
      </c>
      <c r="M58" s="63">
        <f t="shared" ca="1" si="18"/>
        <v>1.1445843324120212E-3</v>
      </c>
      <c r="N58" s="63">
        <f t="shared" ca="1" si="44"/>
        <v>1651049.8248183965</v>
      </c>
      <c r="Q58" s="63">
        <f t="shared" ca="1" si="19"/>
        <v>122.63072274294939</v>
      </c>
      <c r="R58" s="63">
        <f ca="1">SUM($Q$15:Q58)</f>
        <v>3558.3974415091257</v>
      </c>
      <c r="T58" s="52">
        <f ca="1">EXP(-AVERAGE(J$15:J58)*G58)</f>
        <v>0.88149754416135639</v>
      </c>
      <c r="U58" s="57"/>
      <c r="V58" s="52">
        <f t="shared" ca="1" si="20"/>
        <v>44</v>
      </c>
      <c r="W58" s="71">
        <f t="shared" ca="1" si="21"/>
        <v>46318</v>
      </c>
      <c r="X58" s="71">
        <f t="shared" ca="1" si="3"/>
        <v>46349</v>
      </c>
      <c r="Y58" s="72">
        <f t="shared" ca="1" si="4"/>
        <v>31</v>
      </c>
      <c r="Z58" s="73">
        <f ca="1">SUM(Y$15:Y58)/360</f>
        <v>3.7250000000000001</v>
      </c>
      <c r="AA58" s="74">
        <f t="shared" si="22"/>
        <v>25000000</v>
      </c>
      <c r="AB58" s="59">
        <f t="shared" si="23"/>
        <v>0.03</v>
      </c>
      <c r="AC58" s="57">
        <f>Volatilities_Resets!$E47*0.01</f>
        <v>2.8195899999999999E-2</v>
      </c>
      <c r="AD58" s="61">
        <f>IF(AB58=AE$11,Volatilities_Resets!$AA47,IF(AB58&gt;=AD$11,IF(AB58&lt;AE$11,(((Volatilities_Resets!$AA47-Volatilities_Resets!$Y47)/50)*((Calculator!AB58-Calculator!AD$11)*10000)+Volatilities_Resets!$Y47)),IF(AB58&gt;=AD$10,IF(AB58&lt;AE$10,(((Volatilities_Resets!$Y47-Volatilities_Resets!$W47)/50)*((Calculator!AB58-Calculator!AD$10)*10000)+Volatilities_Resets!$W47)),IF(AB58&gt;=AD$9,IF(AB58&lt;AE$9,(((Volatilities_Resets!$W47-Volatilities_Resets!$U47)/50)*((Calculator!AB58-Calculator!AD$9)*10000)+Volatilities_Resets!$U47)),IF(AB58&gt;=AD$8,IF(AB58&lt;AE$8,(((Volatilities_Resets!$U47-Volatilities_Resets!$S47)/50)*((Calculator!AB58-Calculator!AD$8)*10000)+Volatilities_Resets!$S47)),IF(AB58&gt;=AD$7,IF(AB58&lt;AE$7,(((Volatilities_Resets!$S47-Volatilities_Resets!$Q47)/50)*((Calculator!AB58-Calculator!AD$7)*10000)+Volatilities_Resets!$Q47)),IF(AB58&gt;=AD$6,IF(AB58&lt;AE$6,(((Volatilities_Resets!$Q47-Volatilities_Resets!$O47)/50)*((Calculator!AB58-Calculator!AD$6)*10000)+Volatilities_Resets!$O47)),IF(AB58&gt;=AD$5,IF(AB58&lt;AE$5,(((Volatilities_Resets!$O47-Volatilities_Resets!$M47)/50)*((Calculator!AB58-Calculator!AD$5)*10000)+Volatilities_Resets!$M47)),IF(AB58&gt;=AD$4,IF(AB58&lt;AE$4,(((Volatilities_Resets!$M47-Volatilities_Resets!$K47)/50)*((Calculator!AB58-Calculator!AD$4)*10000)+Volatilities_Resets!$K47)),IF(AB58&gt;=AD$3,IF(AB58&lt;AE$3,(((Volatilities_Resets!$K47-Volatilities_Resets!$I47)/50)*((Calculator!AB58-Calculator!AD$3)*10000)+Volatilities_Resets!$I47)),IF(AB58&gt;=AD$2,IF(AB58&lt;AE$2,(((Volatilities_Resets!$I47-Volatilities_Resets!$G47)/50)*((Calculator!AB58-Calculator!AD$2)*10000)+Volatilities_Resets!$G47)),"Well, something broke...")))))))))))/10000</f>
        <v>1.4006999999999999E-2</v>
      </c>
      <c r="AE58" s="63">
        <f t="shared" ca="1" si="24"/>
        <v>18800.032257885119</v>
      </c>
      <c r="AF58" s="63">
        <f t="shared" ca="1" si="25"/>
        <v>7.5783296497036767E-4</v>
      </c>
      <c r="AG58" s="63">
        <f t="shared" ca="1" si="45"/>
        <v>1091728.8825681647</v>
      </c>
      <c r="AJ58" s="63">
        <f t="shared" ca="1" si="26"/>
        <v>128.51517216744665</v>
      </c>
      <c r="AK58" s="63">
        <f ca="1">SUM($AJ$15:AJ58)</f>
        <v>3925.1084403501</v>
      </c>
      <c r="AM58" s="52">
        <f ca="1">EXP(-AVERAGE(AC$15:AC58)*Z58)</f>
        <v>0.88149754416135639</v>
      </c>
      <c r="AO58" s="52">
        <f t="shared" ca="1" si="27"/>
        <v>44</v>
      </c>
      <c r="AP58" s="71">
        <f t="shared" ca="1" si="28"/>
        <v>46318</v>
      </c>
      <c r="AQ58" s="71">
        <f t="shared" ca="1" si="5"/>
        <v>46349</v>
      </c>
      <c r="AR58" s="72">
        <f t="shared" ca="1" si="6"/>
        <v>31</v>
      </c>
      <c r="AS58" s="73">
        <f ca="1">SUM(AR$15:AR58)/360</f>
        <v>3.7250000000000001</v>
      </c>
      <c r="AT58" s="74">
        <f t="shared" si="7"/>
        <v>25000000</v>
      </c>
      <c r="AU58" s="59">
        <f t="shared" si="29"/>
        <v>0.04</v>
      </c>
      <c r="AV58" s="57">
        <f>Volatilities_Resets!$E47*0.01</f>
        <v>2.8195899999999999E-2</v>
      </c>
      <c r="AW58" s="61">
        <f>IF(AU58=AX$11,Volatilities_Resets!$AA47,IF(AU58&gt;=AW$11,IF(AU58&lt;AX$11,(((Volatilities_Resets!$AA47-Volatilities_Resets!$Y47)/50)*((Calculator!AU58-Calculator!AW$11)*10000)+Volatilities_Resets!$Y47)),IF(AU58&gt;=AW$10,IF(AU58&lt;AX$10,(((Volatilities_Resets!$Y47-Volatilities_Resets!$W47)/50)*((Calculator!AU58-Calculator!AW$10)*10000)+Volatilities_Resets!$W47)),IF(AU58&gt;=AW$9,IF(AU58&lt;AX$9,(((Volatilities_Resets!$W47-Volatilities_Resets!$U47)/50)*((Calculator!AU58-Calculator!AW$9)*10000)+Volatilities_Resets!$U47)),IF(AU58&gt;=AW$8,IF(AU58&lt;AX$8,(((Volatilities_Resets!$U47-Volatilities_Resets!$S47)/50)*((Calculator!AU58-Calculator!AW$8)*10000)+Volatilities_Resets!$S47)),IF(AU58&gt;=AW$7,IF(AU58&lt;AX$7,(((Volatilities_Resets!$S47-Volatilities_Resets!$Q47)/50)*((Calculator!AU58-Calculator!AW$7)*10000)+Volatilities_Resets!$Q47)),IF(AU58&gt;=AW$6,IF(AU58&lt;AX$6,(((Volatilities_Resets!$Q47-Volatilities_Resets!$O47)/50)*((Calculator!AU58-Calculator!AW$6)*10000)+Volatilities_Resets!$O47)),IF(AU58&gt;=AW$5,IF(AU58&lt;AX$5,(((Volatilities_Resets!$O47-Volatilities_Resets!$M47)/50)*((Calculator!AU58-Calculator!AW$5)*10000)+Volatilities_Resets!$M47)),IF(AU58&gt;=AW$4,IF(AU58&lt;AX$4,(((Volatilities_Resets!$M47-Volatilities_Resets!$K47)/50)*((Calculator!AU58-Calculator!AW$4)*10000)+Volatilities_Resets!$K47)),IF(AU58&gt;=AW$3,IF(AU58&lt;AX$3,(((Volatilities_Resets!$K47-Volatilities_Resets!$I47)/50)*((Calculator!AU58-Calculator!AW$3)*10000)+Volatilities_Resets!$I47)),IF(AU58&gt;=AW$2,IF(AU58&lt;AX$2,(((Volatilities_Resets!$I47-Volatilities_Resets!$G47)/50)*((Calculator!AU58-Calculator!AW$2)*10000)+Volatilities_Resets!$G47)),"Well, something broke...")))))))))))/10000</f>
        <v>1.5021000000000001E-2</v>
      </c>
      <c r="AX58" s="63">
        <f t="shared" ca="1" si="30"/>
        <v>12542.311366944037</v>
      </c>
      <c r="AY58" s="63">
        <f t="shared" ca="1" si="31"/>
        <v>5.0707505498403995E-4</v>
      </c>
      <c r="AZ58" s="63">
        <f t="shared" ca="1" si="46"/>
        <v>650325.03441367205</v>
      </c>
      <c r="BC58" s="63">
        <f t="shared" ca="1" si="8"/>
        <v>118.6187237796664</v>
      </c>
      <c r="BD58" s="63">
        <f ca="1">SUM($BC$15:BC58)</f>
        <v>3836.4324176249511</v>
      </c>
      <c r="BF58" s="52">
        <f ca="1">EXP(-AVERAGE(AV$15:AV58)*AS58)</f>
        <v>0.88149754416135639</v>
      </c>
      <c r="BH58" s="52">
        <f t="shared" ca="1" si="32"/>
        <v>44</v>
      </c>
      <c r="BI58" s="71">
        <f t="shared" ca="1" si="33"/>
        <v>46318</v>
      </c>
      <c r="BJ58" s="71">
        <f t="shared" ca="1" si="9"/>
        <v>46349</v>
      </c>
      <c r="BK58" s="72">
        <f t="shared" ca="1" si="10"/>
        <v>31</v>
      </c>
      <c r="BL58" s="73">
        <f ca="1">SUM(BK$15:BK58)/360</f>
        <v>3.7250000000000001</v>
      </c>
      <c r="BM58" s="74">
        <f t="shared" si="11"/>
        <v>25000000</v>
      </c>
      <c r="BN58" s="59">
        <f t="shared" si="34"/>
        <v>0.05</v>
      </c>
      <c r="BO58" s="57">
        <f>Volatilities_Resets!$E47*0.01</f>
        <v>2.8195899999999999E-2</v>
      </c>
      <c r="BP58" s="61">
        <f>IF(BN58=BQ$11,Volatilities_Resets!$AA47,IF(BN58&gt;=BP$11,IF(BN58&lt;BQ$11,(((Volatilities_Resets!$AA47-Volatilities_Resets!$Y47)/50)*((Calculator!BN58-Calculator!BP$11)*10000)+Volatilities_Resets!$Y47)),IF(BN58&gt;=BP$10,IF(BN58&lt;BQ$10,(((Volatilities_Resets!$Y47-Volatilities_Resets!$W47)/50)*((Calculator!BN58-Calculator!BP$10)*10000)+Volatilities_Resets!$W47)),IF(BN58&gt;=BP$9,IF(BN58&lt;BQ$9,(((Volatilities_Resets!$W47-Volatilities_Resets!$U47)/50)*((Calculator!BN58-Calculator!BP$9)*10000)+Volatilities_Resets!$U47)),IF(BN58&gt;=BP$8,IF(BN58&lt;BQ$8,(((Volatilities_Resets!$U47-Volatilities_Resets!$S47)/50)*((Calculator!BN58-Calculator!BP$8)*10000)+Volatilities_Resets!$S47)),IF(BN58&gt;=BP$7,IF(BN58&lt;BQ$7,(((Volatilities_Resets!$S47-Volatilities_Resets!$Q47)/50)*((Calculator!BN58-Calculator!BP$7)*10000)+Volatilities_Resets!$Q47)),IF(BN58&gt;=BP$6,IF(BN58&lt;BQ$6,(((Volatilities_Resets!$Q47-Volatilities_Resets!$O47)/50)*((Calculator!BN58-Calculator!BP$6)*10000)+Volatilities_Resets!$O47)),IF(BN58&gt;=BP$5,IF(BN58&lt;BQ$5,(((Volatilities_Resets!$O47-Volatilities_Resets!$M47)/50)*((Calculator!BN58-Calculator!BP$5)*10000)+Volatilities_Resets!$M47)),IF(BN58&gt;=BP$4,IF(BN58&lt;BQ$4,(((Volatilities_Resets!$M47-Volatilities_Resets!$K47)/50)*((Calculator!BN58-Calculator!BP$4)*10000)+Volatilities_Resets!$K47)),IF(BN58&gt;=BP$3,IF(BN58&lt;BQ$3,(((Volatilities_Resets!$K47-Volatilities_Resets!$I47)/50)*((Calculator!BN58-Calculator!BP$3)*10000)+Volatilities_Resets!$I47)),IF(BN58&gt;=BP$2,IF(BN58&lt;BQ$2,(((Volatilities_Resets!$I47-Volatilities_Resets!$G47)/50)*((Calculator!BN58-Calculator!BP$2)*10000)+Volatilities_Resets!$G47)),"Well, something broke...")))))))))))/10000</f>
        <v>1.6390999999999999E-2</v>
      </c>
      <c r="BQ58" s="63">
        <f t="shared" ca="1" si="35"/>
        <v>8734.861013142714</v>
      </c>
      <c r="BR58" s="63">
        <f t="shared" ca="1" si="36"/>
        <v>3.5400999014813326E-4</v>
      </c>
      <c r="BS58" s="63">
        <f t="shared" ca="1" si="47"/>
        <v>332501.37878508592</v>
      </c>
      <c r="BV58" s="63">
        <f t="shared" ca="1" si="37"/>
        <v>101.71489142805599</v>
      </c>
      <c r="BW58" s="63">
        <f ca="1">SUM($BV$15:BV58)</f>
        <v>3301.4314977787676</v>
      </c>
      <c r="BY58" s="52">
        <f ca="1">EXP(-AVERAGE(BO$15:BO58)*BL58)</f>
        <v>0.88149754416135639</v>
      </c>
      <c r="CA58" s="52">
        <f t="shared" ca="1" si="38"/>
        <v>44</v>
      </c>
      <c r="CB58" s="71">
        <f t="shared" ca="1" si="39"/>
        <v>46318</v>
      </c>
      <c r="CC58" s="71">
        <f t="shared" ca="1" si="12"/>
        <v>46349</v>
      </c>
      <c r="CD58" s="72">
        <f t="shared" ca="1" si="13"/>
        <v>31</v>
      </c>
      <c r="CE58" s="73">
        <f ca="1">SUM(CD$15:CD58)/360</f>
        <v>3.7250000000000001</v>
      </c>
      <c r="CF58" s="74">
        <f t="shared" si="14"/>
        <v>25000000</v>
      </c>
      <c r="CG58" s="59">
        <f t="shared" si="40"/>
        <v>0.06</v>
      </c>
      <c r="CH58" s="57">
        <f>Volatilities_Resets!$E47*0.01</f>
        <v>2.8195899999999999E-2</v>
      </c>
      <c r="CI58" s="61">
        <f>IF(CG58=CJ$11,Volatilities_Resets!$AA47,IF(CG58&gt;=CI$11,IF(CG58&lt;CJ$11,(((Volatilities_Resets!$AA47-Volatilities_Resets!$Y47)/50)*((Calculator!CG58-Calculator!CI$11)*10000)+Volatilities_Resets!$Y47)),IF(CG58&gt;=CI$10,IF(CG58&lt;CJ$10,(((Volatilities_Resets!$Y47-Volatilities_Resets!$W47)/50)*((Calculator!CG58-Calculator!CI$10)*10000)+Volatilities_Resets!$W47)),IF(CG58&gt;=CI$9,IF(CG58&lt;CJ$9,(((Volatilities_Resets!$W47-Volatilities_Resets!$U47)/50)*((Calculator!CG58-Calculator!CI$9)*10000)+Volatilities_Resets!$U47)),IF(CG58&gt;=CI$8,IF(CG58&lt;CJ$8,(((Volatilities_Resets!$U47-Volatilities_Resets!$S47)/50)*((Calculator!CG58-Calculator!CI$8)*10000)+Volatilities_Resets!$S47)),IF(CG58&gt;=CI$7,IF(CG58&lt;CJ$7,(((Volatilities_Resets!$S47-Volatilities_Resets!$Q47)/50)*((Calculator!CG58-Calculator!CI$7)*10000)+Volatilities_Resets!$Q47)),IF(CG58&gt;=CI$6,IF(CG58&lt;CJ$6,(((Volatilities_Resets!$Q47-Volatilities_Resets!$O47)/50)*((Calculator!CG58-Calculator!CI$6)*10000)+Volatilities_Resets!$O47)),IF(CG58&gt;=CI$5,IF(CG58&lt;CJ$5,(((Volatilities_Resets!$O47-Volatilities_Resets!$M47)/50)*((Calculator!CG58-Calculator!CI$5)*10000)+Volatilities_Resets!$M47)),IF(CG58&gt;=CI$4,IF(CG58&lt;CJ$4,(((Volatilities_Resets!$M47-Volatilities_Resets!$K47)/50)*((Calculator!CG58-Calculator!CI$4)*10000)+Volatilities_Resets!$K47)),IF(CG58&gt;=CI$3,IF(CG58&lt;CJ$3,(((Volatilities_Resets!$K47-Volatilities_Resets!$I47)/50)*((Calculator!CG58-Calculator!CI$3)*10000)+Volatilities_Resets!$I47)),IF(CG58&gt;=CI$2,IF(CG58&lt;CJ$2,(((Volatilities_Resets!$I47-Volatilities_Resets!$G47)/50)*((Calculator!CG58-Calculator!CI$2)*10000)+Volatilities_Resets!$G47)),"Well, something broke...")))))))))))/10000</f>
        <v>1.7953999999999998E-2</v>
      </c>
      <c r="CJ58" s="63">
        <f t="shared" ca="1" si="41"/>
        <v>6391.1423851154686</v>
      </c>
      <c r="CK58" s="63">
        <f t="shared" ca="1" si="42"/>
        <v>2.5949021986392657E-4</v>
      </c>
      <c r="CL58" s="63">
        <f t="shared" ca="1" si="48"/>
        <v>174008.32859321428</v>
      </c>
      <c r="CO58" s="63">
        <f t="shared" ca="1" si="43"/>
        <v>84.723471733702809</v>
      </c>
      <c r="CP58" s="63">
        <f ca="1">SUM($CO$15:CO58)</f>
        <v>2433.3030585491229</v>
      </c>
      <c r="CR58" s="52">
        <f ca="1">EXP(-AVERAGE(CH$15:CH58)*CE58)</f>
        <v>0.88149754416135639</v>
      </c>
      <c r="CT58"/>
      <c r="CU58"/>
      <c r="CV58"/>
      <c r="CW58"/>
      <c r="CX58"/>
      <c r="CY58"/>
      <c r="CZ58"/>
      <c r="DA58"/>
      <c r="DB58"/>
      <c r="DC58"/>
      <c r="DD58"/>
      <c r="DE58"/>
      <c r="DF58"/>
      <c r="DG58"/>
      <c r="DH58"/>
      <c r="DI58"/>
      <c r="DJ58"/>
      <c r="DK58"/>
      <c r="DL58"/>
    </row>
    <row r="59" spans="2:116" ht="15.75" customHeight="1">
      <c r="B59" s="52">
        <v>4</v>
      </c>
      <c r="C59" s="52">
        <f t="shared" ca="1" si="49"/>
        <v>45</v>
      </c>
      <c r="D59" s="71">
        <f t="shared" ca="1" si="16"/>
        <v>46349</v>
      </c>
      <c r="E59" s="71">
        <f t="shared" ca="1" si="50"/>
        <v>46379</v>
      </c>
      <c r="F59" s="72">
        <f t="shared" ca="1" si="51"/>
        <v>30</v>
      </c>
      <c r="G59" s="73">
        <f ca="1">SUM($F$15:F59)/360</f>
        <v>3.8083333333333331</v>
      </c>
      <c r="H59" s="74">
        <f t="shared" si="2"/>
        <v>25000000</v>
      </c>
      <c r="I59" s="59">
        <f>IF('Cap Pricer'!$E$22=DataValidation!$C$2,'Cap Pricer'!$E$23,IF('Cap Pricer'!$E$22=DataValidation!$C$3,VLOOKUP($B59,'Cap Pricer'!$C$25:$E$31,3),""))</f>
        <v>0.02</v>
      </c>
      <c r="J59" s="57">
        <f>Volatilities_Resets!$E48*0.01</f>
        <v>2.81981E-2</v>
      </c>
      <c r="K59" s="61">
        <f>IF(I59=L$11,Volatilities_Resets!$AA48,IF(I59&gt;=K$11,IF(I59&lt;L$11,(((Volatilities_Resets!$AA48-Volatilities_Resets!$Y48)/50)*((Calculator!I59-Calculator!K$11)*10000)+Volatilities_Resets!$Y48)),IF(I59&gt;=K$10,IF(I59&lt;L$10,(((Volatilities_Resets!$Y48-Volatilities_Resets!$W48)/50)*((Calculator!I59-Calculator!K$10)*10000)+Volatilities_Resets!$W48)),IF(I59&gt;=K$9,IF(I59&lt;L$9,(((Volatilities_Resets!$W48-Volatilities_Resets!$U48)/50)*((Calculator!I59-Calculator!K$9)*10000)+Volatilities_Resets!$U48)),IF(I59&gt;=K$8,IF(I59&lt;L$8,(((Volatilities_Resets!$U48-Volatilities_Resets!$S48)/50)*((Calculator!I59-Calculator!K$8)*10000)+Volatilities_Resets!$S48)),IF(I59&gt;=K$7,IF(I59&lt;L$7,(((Volatilities_Resets!$S48-Volatilities_Resets!$Q48)/50)*((Calculator!I59-Calculator!K$7)*10000)+Volatilities_Resets!$Q48)),IF(I59&gt;=K$6,IF(I59&lt;L$6,(((Volatilities_Resets!$Q48-Volatilities_Resets!$O48)/50)*((Calculator!I59-Calculator!K$6)*10000)+Volatilities_Resets!$O48)),IF(I59&gt;=K$5,IF(I59&lt;L$5,(((Volatilities_Resets!$O48-Volatilities_Resets!$M48)/50)*((Calculator!I59-Calculator!K$5)*10000)+Volatilities_Resets!$M48)),IF(I59&gt;=K$4,IF(I59&lt;L$4,(((Volatilities_Resets!$M48-Volatilities_Resets!$K48)/50)*((Calculator!I59-Calculator!K$4)*10000)+Volatilities_Resets!$K48)),IF(I59&gt;=K$3,IF(I59&lt;L$3,(((Volatilities_Resets!$K48-Volatilities_Resets!$I48)/50)*((Calculator!I59-Calculator!K$3)*10000)+Volatilities_Resets!$I48)),IF(I59&gt;=K$2,IF(I59&lt;L$2,(((Volatilities_Resets!$I48-Volatilities_Resets!$G48)/50)*((Calculator!I59-Calculator!K$2)*10000)+Volatilities_Resets!$G48)),"Well, something broke...")))))))))))/10000</f>
        <v>1.3503999999999999E-2</v>
      </c>
      <c r="L59" s="47">
        <f t="shared" ca="1" si="17"/>
        <v>27696.755819511436</v>
      </c>
      <c r="M59" s="63">
        <f t="shared" ca="1" si="18"/>
        <v>1.1133082422670323E-3</v>
      </c>
      <c r="N59" s="63">
        <f t="shared" ca="1" si="44"/>
        <v>1678746.5806379078</v>
      </c>
      <c r="Q59" s="63">
        <f t="shared" ca="1" si="19"/>
        <v>119.55940392967283</v>
      </c>
      <c r="R59" s="63">
        <f ca="1">SUM($Q$15:Q59)</f>
        <v>3677.9568454387986</v>
      </c>
      <c r="T59" s="52">
        <f ca="1">EXP(-AVERAGE(J$15:J59)*G59)</f>
        <v>0.87943505229135954</v>
      </c>
      <c r="U59" s="57"/>
      <c r="V59" s="52">
        <f t="shared" ca="1" si="20"/>
        <v>45</v>
      </c>
      <c r="W59" s="71">
        <f t="shared" ca="1" si="21"/>
        <v>46349</v>
      </c>
      <c r="X59" s="71">
        <f t="shared" ca="1" si="3"/>
        <v>46379</v>
      </c>
      <c r="Y59" s="72">
        <f t="shared" ca="1" si="4"/>
        <v>30</v>
      </c>
      <c r="Z59" s="73">
        <f ca="1">SUM(Y$15:Y59)/360</f>
        <v>3.8083333333333331</v>
      </c>
      <c r="AA59" s="74">
        <f t="shared" si="22"/>
        <v>25000000</v>
      </c>
      <c r="AB59" s="59">
        <f t="shared" si="23"/>
        <v>0.03</v>
      </c>
      <c r="AC59" s="57">
        <f>Volatilities_Resets!$E48*0.01</f>
        <v>2.81981E-2</v>
      </c>
      <c r="AD59" s="61">
        <f>IF(AB59=AE$11,Volatilities_Resets!$AA48,IF(AB59&gt;=AD$11,IF(AB59&lt;AE$11,(((Volatilities_Resets!$AA48-Volatilities_Resets!$Y48)/50)*((Calculator!AB59-Calculator!AD$11)*10000)+Volatilities_Resets!$Y48)),IF(AB59&gt;=AD$10,IF(AB59&lt;AE$10,(((Volatilities_Resets!$Y48-Volatilities_Resets!$W48)/50)*((Calculator!AB59-Calculator!AD$10)*10000)+Volatilities_Resets!$W48)),IF(AB59&gt;=AD$9,IF(AB59&lt;AE$9,(((Volatilities_Resets!$W48-Volatilities_Resets!$U48)/50)*((Calculator!AB59-Calculator!AD$9)*10000)+Volatilities_Resets!$U48)),IF(AB59&gt;=AD$8,IF(AB59&lt;AE$8,(((Volatilities_Resets!$U48-Volatilities_Resets!$S48)/50)*((Calculator!AB59-Calculator!AD$8)*10000)+Volatilities_Resets!$S48)),IF(AB59&gt;=AD$7,IF(AB59&lt;AE$7,(((Volatilities_Resets!$S48-Volatilities_Resets!$Q48)/50)*((Calculator!AB59-Calculator!AD$7)*10000)+Volatilities_Resets!$Q48)),IF(AB59&gt;=AD$6,IF(AB59&lt;AE$6,(((Volatilities_Resets!$Q48-Volatilities_Resets!$O48)/50)*((Calculator!AB59-Calculator!AD$6)*10000)+Volatilities_Resets!$O48)),IF(AB59&gt;=AD$5,IF(AB59&lt;AE$5,(((Volatilities_Resets!$O48-Volatilities_Resets!$M48)/50)*((Calculator!AB59-Calculator!AD$5)*10000)+Volatilities_Resets!$M48)),IF(AB59&gt;=AD$4,IF(AB59&lt;AE$4,(((Volatilities_Resets!$M48-Volatilities_Resets!$K48)/50)*((Calculator!AB59-Calculator!AD$4)*10000)+Volatilities_Resets!$K48)),IF(AB59&gt;=AD$3,IF(AB59&lt;AE$3,(((Volatilities_Resets!$K48-Volatilities_Resets!$I48)/50)*((Calculator!AB59-Calculator!AD$3)*10000)+Volatilities_Resets!$I48)),IF(AB59&gt;=AD$2,IF(AB59&lt;AE$2,(((Volatilities_Resets!$I48-Volatilities_Resets!$G48)/50)*((Calculator!AB59-Calculator!AD$2)*10000)+Volatilities_Resets!$G48)),"Well, something broke...")))))))))))/10000</f>
        <v>1.4006999999999999E-2</v>
      </c>
      <c r="AE59" s="63">
        <f t="shared" ca="1" si="24"/>
        <v>18372.240325953946</v>
      </c>
      <c r="AF59" s="63">
        <f t="shared" ca="1" si="25"/>
        <v>7.4058290101562327E-4</v>
      </c>
      <c r="AG59" s="63">
        <f t="shared" ca="1" si="45"/>
        <v>1110101.1228941188</v>
      </c>
      <c r="AJ59" s="63">
        <f t="shared" ca="1" si="26"/>
        <v>125.17192525430166</v>
      </c>
      <c r="AK59" s="63">
        <f ca="1">SUM($AJ$15:AJ59)</f>
        <v>4050.2803656044016</v>
      </c>
      <c r="AM59" s="52">
        <f ca="1">EXP(-AVERAGE(AC$15:AC59)*Z59)</f>
        <v>0.87943505229135954</v>
      </c>
      <c r="AO59" s="52">
        <f t="shared" ca="1" si="27"/>
        <v>45</v>
      </c>
      <c r="AP59" s="71">
        <f t="shared" ca="1" si="28"/>
        <v>46349</v>
      </c>
      <c r="AQ59" s="71">
        <f t="shared" ca="1" si="5"/>
        <v>46379</v>
      </c>
      <c r="AR59" s="72">
        <f t="shared" ca="1" si="6"/>
        <v>30</v>
      </c>
      <c r="AS59" s="73">
        <f ca="1">SUM(AR$15:AR59)/360</f>
        <v>3.8083333333333331</v>
      </c>
      <c r="AT59" s="74">
        <f t="shared" si="7"/>
        <v>25000000</v>
      </c>
      <c r="AU59" s="59">
        <f t="shared" si="29"/>
        <v>0.04</v>
      </c>
      <c r="AV59" s="57">
        <f>Volatilities_Resets!$E48*0.01</f>
        <v>2.81981E-2</v>
      </c>
      <c r="AW59" s="61">
        <f>IF(AU59=AX$11,Volatilities_Resets!$AA48,IF(AU59&gt;=AW$11,IF(AU59&lt;AX$11,(((Volatilities_Resets!$AA48-Volatilities_Resets!$Y48)/50)*((Calculator!AU59-Calculator!AW$11)*10000)+Volatilities_Resets!$Y48)),IF(AU59&gt;=AW$10,IF(AU59&lt;AX$10,(((Volatilities_Resets!$Y48-Volatilities_Resets!$W48)/50)*((Calculator!AU59-Calculator!AW$10)*10000)+Volatilities_Resets!$W48)),IF(AU59&gt;=AW$9,IF(AU59&lt;AX$9,(((Volatilities_Resets!$W48-Volatilities_Resets!$U48)/50)*((Calculator!AU59-Calculator!AW$9)*10000)+Volatilities_Resets!$U48)),IF(AU59&gt;=AW$8,IF(AU59&lt;AX$8,(((Volatilities_Resets!$U48-Volatilities_Resets!$S48)/50)*((Calculator!AU59-Calculator!AW$8)*10000)+Volatilities_Resets!$S48)),IF(AU59&gt;=AW$7,IF(AU59&lt;AX$7,(((Volatilities_Resets!$S48-Volatilities_Resets!$Q48)/50)*((Calculator!AU59-Calculator!AW$7)*10000)+Volatilities_Resets!$Q48)),IF(AU59&gt;=AW$6,IF(AU59&lt;AX$6,(((Volatilities_Resets!$Q48-Volatilities_Resets!$O48)/50)*((Calculator!AU59-Calculator!AW$6)*10000)+Volatilities_Resets!$O48)),IF(AU59&gt;=AW$5,IF(AU59&lt;AX$5,(((Volatilities_Resets!$O48-Volatilities_Resets!$M48)/50)*((Calculator!AU59-Calculator!AW$5)*10000)+Volatilities_Resets!$M48)),IF(AU59&gt;=AW$4,IF(AU59&lt;AX$4,(((Volatilities_Resets!$M48-Volatilities_Resets!$K48)/50)*((Calculator!AU59-Calculator!AW$4)*10000)+Volatilities_Resets!$K48)),IF(AU59&gt;=AW$3,IF(AU59&lt;AX$3,(((Volatilities_Resets!$K48-Volatilities_Resets!$I48)/50)*((Calculator!AU59-Calculator!AW$3)*10000)+Volatilities_Resets!$I48)),IF(AU59&gt;=AW$2,IF(AU59&lt;AX$2,(((Volatilities_Resets!$I48-Volatilities_Resets!$G48)/50)*((Calculator!AU59-Calculator!AW$2)*10000)+Volatilities_Resets!$G48)),"Well, something broke...")))))))))))/10000</f>
        <v>1.5021000000000001E-2</v>
      </c>
      <c r="AX59" s="63">
        <f t="shared" ca="1" si="30"/>
        <v>12327.868841112135</v>
      </c>
      <c r="AY59" s="63">
        <f t="shared" ca="1" si="31"/>
        <v>4.983789763902402E-4</v>
      </c>
      <c r="AZ59" s="63">
        <f t="shared" ca="1" si="46"/>
        <v>662652.90325478418</v>
      </c>
      <c r="BC59" s="63">
        <f t="shared" ca="1" si="8"/>
        <v>115.73855014215665</v>
      </c>
      <c r="BD59" s="63">
        <f ca="1">SUM($BC$15:BC59)</f>
        <v>3952.1709677671079</v>
      </c>
      <c r="BF59" s="52">
        <f ca="1">EXP(-AVERAGE(AV$15:AV59)*AS59)</f>
        <v>0.87943505229135954</v>
      </c>
      <c r="BH59" s="52">
        <f t="shared" ca="1" si="32"/>
        <v>45</v>
      </c>
      <c r="BI59" s="71">
        <f t="shared" ca="1" si="33"/>
        <v>46349</v>
      </c>
      <c r="BJ59" s="71">
        <f t="shared" ca="1" si="9"/>
        <v>46379</v>
      </c>
      <c r="BK59" s="72">
        <f t="shared" ca="1" si="10"/>
        <v>30</v>
      </c>
      <c r="BL59" s="73">
        <f ca="1">SUM(BK$15:BK59)/360</f>
        <v>3.8083333333333331</v>
      </c>
      <c r="BM59" s="74">
        <f t="shared" si="11"/>
        <v>25000000</v>
      </c>
      <c r="BN59" s="59">
        <f t="shared" si="34"/>
        <v>0.05</v>
      </c>
      <c r="BO59" s="57">
        <f>Volatilities_Resets!$E48*0.01</f>
        <v>2.81981E-2</v>
      </c>
      <c r="BP59" s="61">
        <f>IF(BN59=BQ$11,Volatilities_Resets!$AA48,IF(BN59&gt;=BP$11,IF(BN59&lt;BQ$11,(((Volatilities_Resets!$AA48-Volatilities_Resets!$Y48)/50)*((Calculator!BN59-Calculator!BP$11)*10000)+Volatilities_Resets!$Y48)),IF(BN59&gt;=BP$10,IF(BN59&lt;BQ$10,(((Volatilities_Resets!$Y48-Volatilities_Resets!$W48)/50)*((Calculator!BN59-Calculator!BP$10)*10000)+Volatilities_Resets!$W48)),IF(BN59&gt;=BP$9,IF(BN59&lt;BQ$9,(((Volatilities_Resets!$W48-Volatilities_Resets!$U48)/50)*((Calculator!BN59-Calculator!BP$9)*10000)+Volatilities_Resets!$U48)),IF(BN59&gt;=BP$8,IF(BN59&lt;BQ$8,(((Volatilities_Resets!$U48-Volatilities_Resets!$S48)/50)*((Calculator!BN59-Calculator!BP$8)*10000)+Volatilities_Resets!$S48)),IF(BN59&gt;=BP$7,IF(BN59&lt;BQ$7,(((Volatilities_Resets!$S48-Volatilities_Resets!$Q48)/50)*((Calculator!BN59-Calculator!BP$7)*10000)+Volatilities_Resets!$Q48)),IF(BN59&gt;=BP$6,IF(BN59&lt;BQ$6,(((Volatilities_Resets!$Q48-Volatilities_Resets!$O48)/50)*((Calculator!BN59-Calculator!BP$6)*10000)+Volatilities_Resets!$O48)),IF(BN59&gt;=BP$5,IF(BN59&lt;BQ$5,(((Volatilities_Resets!$O48-Volatilities_Resets!$M48)/50)*((Calculator!BN59-Calculator!BP$5)*10000)+Volatilities_Resets!$M48)),IF(BN59&gt;=BP$4,IF(BN59&lt;BQ$4,(((Volatilities_Resets!$M48-Volatilities_Resets!$K48)/50)*((Calculator!BN59-Calculator!BP$4)*10000)+Volatilities_Resets!$K48)),IF(BN59&gt;=BP$3,IF(BN59&lt;BQ$3,(((Volatilities_Resets!$K48-Volatilities_Resets!$I48)/50)*((Calculator!BN59-Calculator!BP$3)*10000)+Volatilities_Resets!$I48)),IF(BN59&gt;=BP$2,IF(BN59&lt;BQ$2,(((Volatilities_Resets!$I48-Volatilities_Resets!$G48)/50)*((Calculator!BN59-Calculator!BP$2)*10000)+Volatilities_Resets!$G48)),"Well, something broke...")))))))))))/10000</f>
        <v>1.6390999999999999E-2</v>
      </c>
      <c r="BQ59" s="63">
        <f t="shared" ca="1" si="35"/>
        <v>8637.6758549527731</v>
      </c>
      <c r="BR59" s="63">
        <f t="shared" ca="1" si="36"/>
        <v>3.5003636216208707E-4</v>
      </c>
      <c r="BS59" s="63">
        <f t="shared" ca="1" si="47"/>
        <v>341139.0546400387</v>
      </c>
      <c r="BV59" s="63">
        <f t="shared" ca="1" si="37"/>
        <v>99.581244371102073</v>
      </c>
      <c r="BW59" s="63">
        <f ca="1">SUM($BV$15:BV59)</f>
        <v>3401.0127421498696</v>
      </c>
      <c r="BY59" s="52">
        <f ca="1">EXP(-AVERAGE(BO$15:BO59)*BL59)</f>
        <v>0.87943505229135954</v>
      </c>
      <c r="CA59" s="52">
        <f t="shared" ca="1" si="38"/>
        <v>45</v>
      </c>
      <c r="CB59" s="71">
        <f t="shared" ca="1" si="39"/>
        <v>46349</v>
      </c>
      <c r="CC59" s="71">
        <f t="shared" ca="1" si="12"/>
        <v>46379</v>
      </c>
      <c r="CD59" s="72">
        <f t="shared" ca="1" si="13"/>
        <v>30</v>
      </c>
      <c r="CE59" s="73">
        <f ca="1">SUM(CD$15:CD59)/360</f>
        <v>3.8083333333333331</v>
      </c>
      <c r="CF59" s="74">
        <f t="shared" si="14"/>
        <v>25000000</v>
      </c>
      <c r="CG59" s="59">
        <f t="shared" si="40"/>
        <v>0.06</v>
      </c>
      <c r="CH59" s="57">
        <f>Volatilities_Resets!$E48*0.01</f>
        <v>2.81981E-2</v>
      </c>
      <c r="CI59" s="61">
        <f>IF(CG59=CJ$11,Volatilities_Resets!$AA48,IF(CG59&gt;=CI$11,IF(CG59&lt;CJ$11,(((Volatilities_Resets!$AA48-Volatilities_Resets!$Y48)/50)*((Calculator!CG59-Calculator!CI$11)*10000)+Volatilities_Resets!$Y48)),IF(CG59&gt;=CI$10,IF(CG59&lt;CJ$10,(((Volatilities_Resets!$Y48-Volatilities_Resets!$W48)/50)*((Calculator!CG59-Calculator!CI$10)*10000)+Volatilities_Resets!$W48)),IF(CG59&gt;=CI$9,IF(CG59&lt;CJ$9,(((Volatilities_Resets!$W48-Volatilities_Resets!$U48)/50)*((Calculator!CG59-Calculator!CI$9)*10000)+Volatilities_Resets!$U48)),IF(CG59&gt;=CI$8,IF(CG59&lt;CJ$8,(((Volatilities_Resets!$U48-Volatilities_Resets!$S48)/50)*((Calculator!CG59-Calculator!CI$8)*10000)+Volatilities_Resets!$S48)),IF(CG59&gt;=CI$7,IF(CG59&lt;CJ$7,(((Volatilities_Resets!$S48-Volatilities_Resets!$Q48)/50)*((Calculator!CG59-Calculator!CI$7)*10000)+Volatilities_Resets!$Q48)),IF(CG59&gt;=CI$6,IF(CG59&lt;CJ$6,(((Volatilities_Resets!$Q48-Volatilities_Resets!$O48)/50)*((Calculator!CG59-Calculator!CI$6)*10000)+Volatilities_Resets!$O48)),IF(CG59&gt;=CI$5,IF(CG59&lt;CJ$5,(((Volatilities_Resets!$O48-Volatilities_Resets!$M48)/50)*((Calculator!CG59-Calculator!CI$5)*10000)+Volatilities_Resets!$M48)),IF(CG59&gt;=CI$4,IF(CG59&lt;CJ$4,(((Volatilities_Resets!$M48-Volatilities_Resets!$K48)/50)*((Calculator!CG59-Calculator!CI$4)*10000)+Volatilities_Resets!$K48)),IF(CG59&gt;=CI$3,IF(CG59&lt;CJ$3,(((Volatilities_Resets!$K48-Volatilities_Resets!$I48)/50)*((Calculator!CG59-Calculator!CI$3)*10000)+Volatilities_Resets!$I48)),IF(CG59&gt;=CI$2,IF(CG59&lt;CJ$2,(((Volatilities_Resets!$I48-Volatilities_Resets!$G48)/50)*((Calculator!CG59-Calculator!CI$2)*10000)+Volatilities_Resets!$G48)),"Well, something broke...")))))))))))/10000</f>
        <v>1.7953999999999998E-2</v>
      </c>
      <c r="CJ59" s="63">
        <f t="shared" ca="1" si="41"/>
        <v>6356.9936557181773</v>
      </c>
      <c r="CK59" s="63">
        <f t="shared" ca="1" si="42"/>
        <v>2.5806760993285884E-4</v>
      </c>
      <c r="CL59" s="63">
        <f t="shared" ca="1" si="48"/>
        <v>180365.32224893244</v>
      </c>
      <c r="CO59" s="63">
        <f t="shared" ca="1" si="43"/>
        <v>83.279502867891367</v>
      </c>
      <c r="CP59" s="63">
        <f ca="1">SUM($CO$15:CO59)</f>
        <v>2516.5825614170144</v>
      </c>
      <c r="CR59" s="52">
        <f ca="1">EXP(-AVERAGE(CH$15:CH59)*CE59)</f>
        <v>0.87943505229135954</v>
      </c>
      <c r="CT59"/>
      <c r="CU59"/>
      <c r="CV59"/>
      <c r="CW59"/>
      <c r="CX59"/>
      <c r="CY59"/>
      <c r="CZ59"/>
      <c r="DA59"/>
      <c r="DB59"/>
      <c r="DC59"/>
      <c r="DD59"/>
      <c r="DE59"/>
      <c r="DF59"/>
      <c r="DG59"/>
      <c r="DH59"/>
      <c r="DI59"/>
      <c r="DJ59"/>
      <c r="DK59"/>
      <c r="DL59"/>
    </row>
    <row r="60" spans="2:116" ht="15.75" customHeight="1">
      <c r="B60" s="52">
        <v>4</v>
      </c>
      <c r="C60" s="52">
        <f t="shared" ca="1" si="49"/>
        <v>46</v>
      </c>
      <c r="D60" s="71">
        <f t="shared" ca="1" si="16"/>
        <v>46379</v>
      </c>
      <c r="E60" s="71">
        <f t="shared" ca="1" si="50"/>
        <v>46410</v>
      </c>
      <c r="F60" s="72">
        <f t="shared" ca="1" si="51"/>
        <v>31</v>
      </c>
      <c r="G60" s="73">
        <f ca="1">SUM($F$15:F60)/360</f>
        <v>3.8944444444444444</v>
      </c>
      <c r="H60" s="74">
        <f t="shared" si="2"/>
        <v>25000000</v>
      </c>
      <c r="I60" s="59">
        <f>IF('Cap Pricer'!$E$22=DataValidation!$C$2,'Cap Pricer'!$E$23,IF('Cap Pricer'!$E$22=DataValidation!$C$3,VLOOKUP($B60,'Cap Pricer'!$C$25:$E$31,3),""))</f>
        <v>0.02</v>
      </c>
      <c r="J60" s="57">
        <f>Volatilities_Resets!$E49*0.01</f>
        <v>2.8195899999999999E-2</v>
      </c>
      <c r="K60" s="61">
        <f>IF(I60=L$11,Volatilities_Resets!$AA49,IF(I60&gt;=K$11,IF(I60&lt;L$11,(((Volatilities_Resets!$AA49-Volatilities_Resets!$Y49)/50)*((Calculator!I60-Calculator!K$11)*10000)+Volatilities_Resets!$Y49)),IF(I60&gt;=K$10,IF(I60&lt;L$10,(((Volatilities_Resets!$Y49-Volatilities_Resets!$W49)/50)*((Calculator!I60-Calculator!K$10)*10000)+Volatilities_Resets!$W49)),IF(I60&gt;=K$9,IF(I60&lt;L$9,(((Volatilities_Resets!$W49-Volatilities_Resets!$U49)/50)*((Calculator!I60-Calculator!K$9)*10000)+Volatilities_Resets!$U49)),IF(I60&gt;=K$8,IF(I60&lt;L$8,(((Volatilities_Resets!$U49-Volatilities_Resets!$S49)/50)*((Calculator!I60-Calculator!K$8)*10000)+Volatilities_Resets!$S49)),IF(I60&gt;=K$7,IF(I60&lt;L$7,(((Volatilities_Resets!$S49-Volatilities_Resets!$Q49)/50)*((Calculator!I60-Calculator!K$7)*10000)+Volatilities_Resets!$Q49)),IF(I60&gt;=K$6,IF(I60&lt;L$6,(((Volatilities_Resets!$Q49-Volatilities_Resets!$O49)/50)*((Calculator!I60-Calculator!K$6)*10000)+Volatilities_Resets!$O49)),IF(I60&gt;=K$5,IF(I60&lt;L$5,(((Volatilities_Resets!$O49-Volatilities_Resets!$M49)/50)*((Calculator!I60-Calculator!K$5)*10000)+Volatilities_Resets!$M49)),IF(I60&gt;=K$4,IF(I60&lt;L$4,(((Volatilities_Resets!$M49-Volatilities_Resets!$K49)/50)*((Calculator!I60-Calculator!K$4)*10000)+Volatilities_Resets!$K49)),IF(I60&gt;=K$3,IF(I60&lt;L$3,(((Volatilities_Resets!$K49-Volatilities_Resets!$I49)/50)*((Calculator!I60-Calculator!K$3)*10000)+Volatilities_Resets!$I49)),IF(I60&gt;=K$2,IF(I60&lt;L$2,(((Volatilities_Resets!$I49-Volatilities_Resets!$G49)/50)*((Calculator!I60-Calculator!K$2)*10000)+Volatilities_Resets!$G49)),"Well, something broke...")))))))))))/10000</f>
        <v>1.3503999999999999E-2</v>
      </c>
      <c r="L60" s="47">
        <f t="shared" ca="1" si="17"/>
        <v>28760.56413620523</v>
      </c>
      <c r="M60" s="63">
        <f t="shared" ca="1" si="18"/>
        <v>1.1560973571424476E-3</v>
      </c>
      <c r="N60" s="63">
        <f t="shared" ca="1" si="44"/>
        <v>1707507.1447741131</v>
      </c>
      <c r="Q60" s="63">
        <f t="shared" ca="1" si="19"/>
        <v>124.46170889105487</v>
      </c>
      <c r="R60" s="63">
        <f ca="1">SUM($Q$15:Q60)</f>
        <v>3802.4185543298536</v>
      </c>
      <c r="T60" s="52">
        <f ca="1">EXP(-AVERAGE(J$15:J60)*G60)</f>
        <v>0.87729534824984645</v>
      </c>
      <c r="U60" s="57"/>
      <c r="V60" s="52">
        <f t="shared" ca="1" si="20"/>
        <v>46</v>
      </c>
      <c r="W60" s="71">
        <f t="shared" ca="1" si="21"/>
        <v>46379</v>
      </c>
      <c r="X60" s="71">
        <f t="shared" ca="1" si="3"/>
        <v>46410</v>
      </c>
      <c r="Y60" s="72">
        <f t="shared" ca="1" si="4"/>
        <v>31</v>
      </c>
      <c r="Z60" s="73">
        <f ca="1">SUM(Y$15:Y60)/360</f>
        <v>3.8944444444444444</v>
      </c>
      <c r="AA60" s="74">
        <f t="shared" si="22"/>
        <v>25000000</v>
      </c>
      <c r="AB60" s="59">
        <f t="shared" si="23"/>
        <v>0.03</v>
      </c>
      <c r="AC60" s="57">
        <f>Volatilities_Resets!$E49*0.01</f>
        <v>2.8195899999999999E-2</v>
      </c>
      <c r="AD60" s="61">
        <f>IF(AB60=AE$11,Volatilities_Resets!$AA49,IF(AB60&gt;=AD$11,IF(AB60&lt;AE$11,(((Volatilities_Resets!$AA49-Volatilities_Resets!$Y49)/50)*((Calculator!AB60-Calculator!AD$11)*10000)+Volatilities_Resets!$Y49)),IF(AB60&gt;=AD$10,IF(AB60&lt;AE$10,(((Volatilities_Resets!$Y49-Volatilities_Resets!$W49)/50)*((Calculator!AB60-Calculator!AD$10)*10000)+Volatilities_Resets!$W49)),IF(AB60&gt;=AD$9,IF(AB60&lt;AE$9,(((Volatilities_Resets!$W49-Volatilities_Resets!$U49)/50)*((Calculator!AB60-Calculator!AD$9)*10000)+Volatilities_Resets!$U49)),IF(AB60&gt;=AD$8,IF(AB60&lt;AE$8,(((Volatilities_Resets!$U49-Volatilities_Resets!$S49)/50)*((Calculator!AB60-Calculator!AD$8)*10000)+Volatilities_Resets!$S49)),IF(AB60&gt;=AD$7,IF(AB60&lt;AE$7,(((Volatilities_Resets!$S49-Volatilities_Resets!$Q49)/50)*((Calculator!AB60-Calculator!AD$7)*10000)+Volatilities_Resets!$Q49)),IF(AB60&gt;=AD$6,IF(AB60&lt;AE$6,(((Volatilities_Resets!$Q49-Volatilities_Resets!$O49)/50)*((Calculator!AB60-Calculator!AD$6)*10000)+Volatilities_Resets!$O49)),IF(AB60&gt;=AD$5,IF(AB60&lt;AE$5,(((Volatilities_Resets!$O49-Volatilities_Resets!$M49)/50)*((Calculator!AB60-Calculator!AD$5)*10000)+Volatilities_Resets!$M49)),IF(AB60&gt;=AD$4,IF(AB60&lt;AE$4,(((Volatilities_Resets!$M49-Volatilities_Resets!$K49)/50)*((Calculator!AB60-Calculator!AD$4)*10000)+Volatilities_Resets!$K49)),IF(AB60&gt;=AD$3,IF(AB60&lt;AE$3,(((Volatilities_Resets!$K49-Volatilities_Resets!$I49)/50)*((Calculator!AB60-Calculator!AD$3)*10000)+Volatilities_Resets!$I49)),IF(AB60&gt;=AD$2,IF(AB60&lt;AE$2,(((Volatilities_Resets!$I49-Volatilities_Resets!$G49)/50)*((Calculator!AB60-Calculator!AD$2)*10000)+Volatilities_Resets!$G49)),"Well, something broke...")))))))))))/10000</f>
        <v>1.4006000000000001E-2</v>
      </c>
      <c r="AE60" s="63">
        <f t="shared" ca="1" si="24"/>
        <v>19166.048536315961</v>
      </c>
      <c r="AF60" s="63">
        <f t="shared" ca="1" si="25"/>
        <v>7.725769216253332E-4</v>
      </c>
      <c r="AG60" s="63">
        <f t="shared" ca="1" si="45"/>
        <v>1129267.1714304348</v>
      </c>
      <c r="AJ60" s="63">
        <f t="shared" ca="1" si="26"/>
        <v>130.16826243650607</v>
      </c>
      <c r="AK60" s="63">
        <f ca="1">SUM($AJ$15:AJ60)</f>
        <v>4180.4486280409074</v>
      </c>
      <c r="AM60" s="52">
        <f ca="1">EXP(-AVERAGE(AC$15:AC60)*Z60)</f>
        <v>0.87729534824984645</v>
      </c>
      <c r="AO60" s="52">
        <f t="shared" ca="1" si="27"/>
        <v>46</v>
      </c>
      <c r="AP60" s="71">
        <f t="shared" ca="1" si="28"/>
        <v>46379</v>
      </c>
      <c r="AQ60" s="71">
        <f t="shared" ca="1" si="5"/>
        <v>46410</v>
      </c>
      <c r="AR60" s="72">
        <f t="shared" ca="1" si="6"/>
        <v>31</v>
      </c>
      <c r="AS60" s="73">
        <f ca="1">SUM(AR$15:AR60)/360</f>
        <v>3.8944444444444444</v>
      </c>
      <c r="AT60" s="74">
        <f t="shared" si="7"/>
        <v>25000000</v>
      </c>
      <c r="AU60" s="59">
        <f t="shared" si="29"/>
        <v>0.04</v>
      </c>
      <c r="AV60" s="57">
        <f>Volatilities_Resets!$E49*0.01</f>
        <v>2.8195899999999999E-2</v>
      </c>
      <c r="AW60" s="61">
        <f>IF(AU60=AX$11,Volatilities_Resets!$AA49,IF(AU60&gt;=AW$11,IF(AU60&lt;AX$11,(((Volatilities_Resets!$AA49-Volatilities_Resets!$Y49)/50)*((Calculator!AU60-Calculator!AW$11)*10000)+Volatilities_Resets!$Y49)),IF(AU60&gt;=AW$10,IF(AU60&lt;AX$10,(((Volatilities_Resets!$Y49-Volatilities_Resets!$W49)/50)*((Calculator!AU60-Calculator!AW$10)*10000)+Volatilities_Resets!$W49)),IF(AU60&gt;=AW$9,IF(AU60&lt;AX$9,(((Volatilities_Resets!$W49-Volatilities_Resets!$U49)/50)*((Calculator!AU60-Calculator!AW$9)*10000)+Volatilities_Resets!$U49)),IF(AU60&gt;=AW$8,IF(AU60&lt;AX$8,(((Volatilities_Resets!$U49-Volatilities_Resets!$S49)/50)*((Calculator!AU60-Calculator!AW$8)*10000)+Volatilities_Resets!$S49)),IF(AU60&gt;=AW$7,IF(AU60&lt;AX$7,(((Volatilities_Resets!$S49-Volatilities_Resets!$Q49)/50)*((Calculator!AU60-Calculator!AW$7)*10000)+Volatilities_Resets!$Q49)),IF(AU60&gt;=AW$6,IF(AU60&lt;AX$6,(((Volatilities_Resets!$Q49-Volatilities_Resets!$O49)/50)*((Calculator!AU60-Calculator!AW$6)*10000)+Volatilities_Resets!$O49)),IF(AU60&gt;=AW$5,IF(AU60&lt;AX$5,(((Volatilities_Resets!$O49-Volatilities_Resets!$M49)/50)*((Calculator!AU60-Calculator!AW$5)*10000)+Volatilities_Resets!$M49)),IF(AU60&gt;=AW$4,IF(AU60&lt;AX$4,(((Volatilities_Resets!$M49-Volatilities_Resets!$K49)/50)*((Calculator!AU60-Calculator!AW$4)*10000)+Volatilities_Resets!$K49)),IF(AU60&gt;=AW$3,IF(AU60&lt;AX$3,(((Volatilities_Resets!$K49-Volatilities_Resets!$I49)/50)*((Calculator!AU60-Calculator!AW$3)*10000)+Volatilities_Resets!$I49)),IF(AU60&gt;=AW$2,IF(AU60&lt;AX$2,(((Volatilities_Resets!$I49-Volatilities_Resets!$G49)/50)*((Calculator!AU60-Calculator!AW$2)*10000)+Volatilities_Resets!$G49)),"Well, something broke...")))))))))))/10000</f>
        <v>1.5019999999999999E-2</v>
      </c>
      <c r="AX60" s="63">
        <f t="shared" ca="1" si="30"/>
        <v>12934.174263406976</v>
      </c>
      <c r="AY60" s="63">
        <f t="shared" ca="1" si="31"/>
        <v>5.2286399766385445E-4</v>
      </c>
      <c r="AZ60" s="63">
        <f t="shared" ca="1" si="46"/>
        <v>675587.07751819119</v>
      </c>
      <c r="BC60" s="63">
        <f t="shared" ca="1" si="8"/>
        <v>120.56290820562766</v>
      </c>
      <c r="BD60" s="63">
        <f ca="1">SUM($BC$15:BC60)</f>
        <v>4072.7338759727354</v>
      </c>
      <c r="BF60" s="52">
        <f ca="1">EXP(-AVERAGE(AV$15:AV60)*AS60)</f>
        <v>0.87729534824984645</v>
      </c>
      <c r="BH60" s="52">
        <f t="shared" ca="1" si="32"/>
        <v>46</v>
      </c>
      <c r="BI60" s="71">
        <f t="shared" ca="1" si="33"/>
        <v>46379</v>
      </c>
      <c r="BJ60" s="71">
        <f t="shared" ca="1" si="9"/>
        <v>46410</v>
      </c>
      <c r="BK60" s="72">
        <f t="shared" ca="1" si="10"/>
        <v>31</v>
      </c>
      <c r="BL60" s="73">
        <f ca="1">SUM(BK$15:BK60)/360</f>
        <v>3.8944444444444444</v>
      </c>
      <c r="BM60" s="74">
        <f t="shared" si="11"/>
        <v>25000000</v>
      </c>
      <c r="BN60" s="59">
        <f t="shared" si="34"/>
        <v>0.05</v>
      </c>
      <c r="BO60" s="57">
        <f>Volatilities_Resets!$E49*0.01</f>
        <v>2.8195899999999999E-2</v>
      </c>
      <c r="BP60" s="61">
        <f>IF(BN60=BQ$11,Volatilities_Resets!$AA49,IF(BN60&gt;=BP$11,IF(BN60&lt;BQ$11,(((Volatilities_Resets!$AA49-Volatilities_Resets!$Y49)/50)*((Calculator!BN60-Calculator!BP$11)*10000)+Volatilities_Resets!$Y49)),IF(BN60&gt;=BP$10,IF(BN60&lt;BQ$10,(((Volatilities_Resets!$Y49-Volatilities_Resets!$W49)/50)*((Calculator!BN60-Calculator!BP$10)*10000)+Volatilities_Resets!$W49)),IF(BN60&gt;=BP$9,IF(BN60&lt;BQ$9,(((Volatilities_Resets!$W49-Volatilities_Resets!$U49)/50)*((Calculator!BN60-Calculator!BP$9)*10000)+Volatilities_Resets!$U49)),IF(BN60&gt;=BP$8,IF(BN60&lt;BQ$8,(((Volatilities_Resets!$U49-Volatilities_Resets!$S49)/50)*((Calculator!BN60-Calculator!BP$8)*10000)+Volatilities_Resets!$S49)),IF(BN60&gt;=BP$7,IF(BN60&lt;BQ$7,(((Volatilities_Resets!$S49-Volatilities_Resets!$Q49)/50)*((Calculator!BN60-Calculator!BP$7)*10000)+Volatilities_Resets!$Q49)),IF(BN60&gt;=BP$6,IF(BN60&lt;BQ$6,(((Volatilities_Resets!$Q49-Volatilities_Resets!$O49)/50)*((Calculator!BN60-Calculator!BP$6)*10000)+Volatilities_Resets!$O49)),IF(BN60&gt;=BP$5,IF(BN60&lt;BQ$5,(((Volatilities_Resets!$O49-Volatilities_Resets!$M49)/50)*((Calculator!BN60-Calculator!BP$5)*10000)+Volatilities_Resets!$M49)),IF(BN60&gt;=BP$4,IF(BN60&lt;BQ$4,(((Volatilities_Resets!$M49-Volatilities_Resets!$K49)/50)*((Calculator!BN60-Calculator!BP$4)*10000)+Volatilities_Resets!$K49)),IF(BN60&gt;=BP$3,IF(BN60&lt;BQ$3,(((Volatilities_Resets!$K49-Volatilities_Resets!$I49)/50)*((Calculator!BN60-Calculator!BP$3)*10000)+Volatilities_Resets!$I49)),IF(BN60&gt;=BP$2,IF(BN60&lt;BQ$2,(((Volatilities_Resets!$I49-Volatilities_Resets!$G49)/50)*((Calculator!BN60-Calculator!BP$2)*10000)+Volatilities_Resets!$G49)),"Well, something broke...")))))))))))/10000</f>
        <v>1.6390000000000002E-2</v>
      </c>
      <c r="BQ60" s="63">
        <f t="shared" ca="1" si="35"/>
        <v>9117.0014403232472</v>
      </c>
      <c r="BR60" s="63">
        <f t="shared" ca="1" si="36"/>
        <v>3.6942528287986563E-4</v>
      </c>
      <c r="BS60" s="63">
        <f t="shared" ca="1" si="47"/>
        <v>350256.05608036194</v>
      </c>
      <c r="BV60" s="63">
        <f t="shared" ca="1" si="37"/>
        <v>104.07410132700939</v>
      </c>
      <c r="BW60" s="63">
        <f ca="1">SUM($BV$15:BV60)</f>
        <v>3505.086843476879</v>
      </c>
      <c r="BY60" s="52">
        <f ca="1">EXP(-AVERAGE(BO$15:BO60)*BL60)</f>
        <v>0.87729534824984645</v>
      </c>
      <c r="CA60" s="52">
        <f t="shared" ca="1" si="38"/>
        <v>46</v>
      </c>
      <c r="CB60" s="71">
        <f t="shared" ca="1" si="39"/>
        <v>46379</v>
      </c>
      <c r="CC60" s="71">
        <f t="shared" ca="1" si="12"/>
        <v>46410</v>
      </c>
      <c r="CD60" s="72">
        <f t="shared" ca="1" si="13"/>
        <v>31</v>
      </c>
      <c r="CE60" s="73">
        <f ca="1">SUM(CD$15:CD60)/360</f>
        <v>3.8944444444444444</v>
      </c>
      <c r="CF60" s="74">
        <f t="shared" si="14"/>
        <v>25000000</v>
      </c>
      <c r="CG60" s="59">
        <f t="shared" si="40"/>
        <v>0.06</v>
      </c>
      <c r="CH60" s="57">
        <f>Volatilities_Resets!$E49*0.01</f>
        <v>2.8195899999999999E-2</v>
      </c>
      <c r="CI60" s="61">
        <f>IF(CG60=CJ$11,Volatilities_Resets!$AA49,IF(CG60&gt;=CI$11,IF(CG60&lt;CJ$11,(((Volatilities_Resets!$AA49-Volatilities_Resets!$Y49)/50)*((Calculator!CG60-Calculator!CI$11)*10000)+Volatilities_Resets!$Y49)),IF(CG60&gt;=CI$10,IF(CG60&lt;CJ$10,(((Volatilities_Resets!$Y49-Volatilities_Resets!$W49)/50)*((Calculator!CG60-Calculator!CI$10)*10000)+Volatilities_Resets!$W49)),IF(CG60&gt;=CI$9,IF(CG60&lt;CJ$9,(((Volatilities_Resets!$W49-Volatilities_Resets!$U49)/50)*((Calculator!CG60-Calculator!CI$9)*10000)+Volatilities_Resets!$U49)),IF(CG60&gt;=CI$8,IF(CG60&lt;CJ$8,(((Volatilities_Resets!$U49-Volatilities_Resets!$S49)/50)*((Calculator!CG60-Calculator!CI$8)*10000)+Volatilities_Resets!$S49)),IF(CG60&gt;=CI$7,IF(CG60&lt;CJ$7,(((Volatilities_Resets!$S49-Volatilities_Resets!$Q49)/50)*((Calculator!CG60-Calculator!CI$7)*10000)+Volatilities_Resets!$Q49)),IF(CG60&gt;=CI$6,IF(CG60&lt;CJ$6,(((Volatilities_Resets!$Q49-Volatilities_Resets!$O49)/50)*((Calculator!CG60-Calculator!CI$6)*10000)+Volatilities_Resets!$O49)),IF(CG60&gt;=CI$5,IF(CG60&lt;CJ$5,(((Volatilities_Resets!$O49-Volatilities_Resets!$M49)/50)*((Calculator!CG60-Calculator!CI$5)*10000)+Volatilities_Resets!$M49)),IF(CG60&gt;=CI$4,IF(CG60&lt;CJ$4,(((Volatilities_Resets!$M49-Volatilities_Resets!$K49)/50)*((Calculator!CG60-Calculator!CI$4)*10000)+Volatilities_Resets!$K49)),IF(CG60&gt;=CI$3,IF(CG60&lt;CJ$3,(((Volatilities_Resets!$K49-Volatilities_Resets!$I49)/50)*((Calculator!CG60-Calculator!CI$3)*10000)+Volatilities_Resets!$I49)),IF(CG60&gt;=CI$2,IF(CG60&lt;CJ$2,(((Volatilities_Resets!$I49-Volatilities_Resets!$G49)/50)*((Calculator!CG60-Calculator!CI$2)*10000)+Volatilities_Resets!$G49)),"Well, something broke...")))))))))))/10000</f>
        <v>1.7953E-2</v>
      </c>
      <c r="CJ60" s="63">
        <f t="shared" ca="1" si="41"/>
        <v>6748.6361199226367</v>
      </c>
      <c r="CK60" s="63">
        <f t="shared" ca="1" si="42"/>
        <v>2.7392947323086889E-4</v>
      </c>
      <c r="CL60" s="63">
        <f t="shared" ca="1" si="48"/>
        <v>187113.95836885506</v>
      </c>
      <c r="CO60" s="63">
        <f t="shared" ca="1" si="43"/>
        <v>87.37924031028065</v>
      </c>
      <c r="CP60" s="63">
        <f ca="1">SUM($CO$15:CO60)</f>
        <v>2603.9618017272951</v>
      </c>
      <c r="CR60" s="52">
        <f ca="1">EXP(-AVERAGE(CH$15:CH60)*CE60)</f>
        <v>0.87729534824984645</v>
      </c>
      <c r="CT60"/>
      <c r="CU60"/>
      <c r="CV60"/>
      <c r="CW60"/>
      <c r="CX60"/>
      <c r="CY60"/>
      <c r="CZ60"/>
      <c r="DA60"/>
      <c r="DB60"/>
      <c r="DC60"/>
      <c r="DD60"/>
      <c r="DE60"/>
      <c r="DF60"/>
      <c r="DG60"/>
      <c r="DH60"/>
      <c r="DI60"/>
      <c r="DJ60"/>
      <c r="DK60"/>
      <c r="DL60"/>
    </row>
    <row r="61" spans="2:116" ht="15.75" customHeight="1">
      <c r="B61" s="52">
        <v>4</v>
      </c>
      <c r="C61" s="52">
        <f t="shared" ca="1" si="49"/>
        <v>47</v>
      </c>
      <c r="D61" s="71">
        <f t="shared" ca="1" si="16"/>
        <v>46410</v>
      </c>
      <c r="E61" s="71">
        <f t="shared" ca="1" si="50"/>
        <v>46441</v>
      </c>
      <c r="F61" s="72">
        <f t="shared" ca="1" si="51"/>
        <v>31</v>
      </c>
      <c r="G61" s="73">
        <f ca="1">SUM($F$15:F61)/360</f>
        <v>3.9805555555555556</v>
      </c>
      <c r="H61" s="74">
        <f t="shared" si="2"/>
        <v>25000000</v>
      </c>
      <c r="I61" s="59">
        <f>IF('Cap Pricer'!$E$22=DataValidation!$C$2,'Cap Pricer'!$E$23,IF('Cap Pricer'!$E$22=DataValidation!$C$3,VLOOKUP($B61,'Cap Pricer'!$C$25:$E$31,3),""))</f>
        <v>0.02</v>
      </c>
      <c r="J61" s="57">
        <f>Volatilities_Resets!$E50*0.01</f>
        <v>2.8194799999999999E-2</v>
      </c>
      <c r="K61" s="61">
        <f>IF(I61=L$11,Volatilities_Resets!$AA50,IF(I61&gt;=K$11,IF(I61&lt;L$11,(((Volatilities_Resets!$AA50-Volatilities_Resets!$Y50)/50)*((Calculator!I61-Calculator!K$11)*10000)+Volatilities_Resets!$Y50)),IF(I61&gt;=K$10,IF(I61&lt;L$10,(((Volatilities_Resets!$Y50-Volatilities_Resets!$W50)/50)*((Calculator!I61-Calculator!K$10)*10000)+Volatilities_Resets!$W50)),IF(I61&gt;=K$9,IF(I61&lt;L$9,(((Volatilities_Resets!$W50-Volatilities_Resets!$U50)/50)*((Calculator!I61-Calculator!K$9)*10000)+Volatilities_Resets!$U50)),IF(I61&gt;=K$8,IF(I61&lt;L$8,(((Volatilities_Resets!$U50-Volatilities_Resets!$S50)/50)*((Calculator!I61-Calculator!K$8)*10000)+Volatilities_Resets!$S50)),IF(I61&gt;=K$7,IF(I61&lt;L$7,(((Volatilities_Resets!$S50-Volatilities_Resets!$Q50)/50)*((Calculator!I61-Calculator!K$7)*10000)+Volatilities_Resets!$Q50)),IF(I61&gt;=K$6,IF(I61&lt;L$6,(((Volatilities_Resets!$Q50-Volatilities_Resets!$O50)/50)*((Calculator!I61-Calculator!K$6)*10000)+Volatilities_Resets!$O50)),IF(I61&gt;=K$5,IF(I61&lt;L$5,(((Volatilities_Resets!$O50-Volatilities_Resets!$M50)/50)*((Calculator!I61-Calculator!K$5)*10000)+Volatilities_Resets!$M50)),IF(I61&gt;=K$4,IF(I61&lt;L$4,(((Volatilities_Resets!$M50-Volatilities_Resets!$K50)/50)*((Calculator!I61-Calculator!K$4)*10000)+Volatilities_Resets!$K50)),IF(I61&gt;=K$3,IF(I61&lt;L$3,(((Volatilities_Resets!$K50-Volatilities_Resets!$I50)/50)*((Calculator!I61-Calculator!K$3)*10000)+Volatilities_Resets!$I50)),IF(I61&gt;=K$2,IF(I61&lt;L$2,(((Volatilities_Resets!$I50-Volatilities_Resets!$G50)/50)*((Calculator!I61-Calculator!K$2)*10000)+Volatilities_Resets!$G50)),"Well, something broke...")))))))))))/10000</f>
        <v>1.3103999999999999E-2</v>
      </c>
      <c r="L61" s="47">
        <f t="shared" ca="1" si="17"/>
        <v>28327.577532824645</v>
      </c>
      <c r="M61" s="63">
        <f t="shared" ca="1" si="18"/>
        <v>1.1388159984059511E-3</v>
      </c>
      <c r="N61" s="63">
        <f t="shared" ca="1" si="44"/>
        <v>1735834.7223069377</v>
      </c>
      <c r="Q61" s="63">
        <f t="shared" ca="1" si="19"/>
        <v>124.99265127028971</v>
      </c>
      <c r="R61" s="63">
        <f ca="1">SUM($Q$15:Q61)</f>
        <v>3927.4112056001431</v>
      </c>
      <c r="T61" s="52">
        <f ca="1">EXP(-AVERAGE(J$15:J61)*G61)</f>
        <v>0.8751612307122052</v>
      </c>
      <c r="U61" s="57"/>
      <c r="V61" s="52">
        <f t="shared" ca="1" si="20"/>
        <v>47</v>
      </c>
      <c r="W61" s="71">
        <f t="shared" ca="1" si="21"/>
        <v>46410</v>
      </c>
      <c r="X61" s="71">
        <f t="shared" ca="1" si="3"/>
        <v>46441</v>
      </c>
      <c r="Y61" s="72">
        <f t="shared" ca="1" si="4"/>
        <v>31</v>
      </c>
      <c r="Z61" s="73">
        <f ca="1">SUM(Y$15:Y61)/360</f>
        <v>3.9805555555555556</v>
      </c>
      <c r="AA61" s="74">
        <f t="shared" si="22"/>
        <v>25000000</v>
      </c>
      <c r="AB61" s="59">
        <f t="shared" si="23"/>
        <v>0.03</v>
      </c>
      <c r="AC61" s="57">
        <f>Volatilities_Resets!$E50*0.01</f>
        <v>2.8194799999999999E-2</v>
      </c>
      <c r="AD61" s="61">
        <f>IF(AB61=AE$11,Volatilities_Resets!$AA50,IF(AB61&gt;=AD$11,IF(AB61&lt;AE$11,(((Volatilities_Resets!$AA50-Volatilities_Resets!$Y50)/50)*((Calculator!AB61-Calculator!AD$11)*10000)+Volatilities_Resets!$Y50)),IF(AB61&gt;=AD$10,IF(AB61&lt;AE$10,(((Volatilities_Resets!$Y50-Volatilities_Resets!$W50)/50)*((Calculator!AB61-Calculator!AD$10)*10000)+Volatilities_Resets!$W50)),IF(AB61&gt;=AD$9,IF(AB61&lt;AE$9,(((Volatilities_Resets!$W50-Volatilities_Resets!$U50)/50)*((Calculator!AB61-Calculator!AD$9)*10000)+Volatilities_Resets!$U50)),IF(AB61&gt;=AD$8,IF(AB61&lt;AE$8,(((Volatilities_Resets!$U50-Volatilities_Resets!$S50)/50)*((Calculator!AB61-Calculator!AD$8)*10000)+Volatilities_Resets!$S50)),IF(AB61&gt;=AD$7,IF(AB61&lt;AE$7,(((Volatilities_Resets!$S50-Volatilities_Resets!$Q50)/50)*((Calculator!AB61-Calculator!AD$7)*10000)+Volatilities_Resets!$Q50)),IF(AB61&gt;=AD$6,IF(AB61&lt;AE$6,(((Volatilities_Resets!$Q50-Volatilities_Resets!$O50)/50)*((Calculator!AB61-Calculator!AD$6)*10000)+Volatilities_Resets!$O50)),IF(AB61&gt;=AD$5,IF(AB61&lt;AE$5,(((Volatilities_Resets!$O50-Volatilities_Resets!$M50)/50)*((Calculator!AB61-Calculator!AD$5)*10000)+Volatilities_Resets!$M50)),IF(AB61&gt;=AD$4,IF(AB61&lt;AE$4,(((Volatilities_Resets!$M50-Volatilities_Resets!$K50)/50)*((Calculator!AB61-Calculator!AD$4)*10000)+Volatilities_Resets!$K50)),IF(AB61&gt;=AD$3,IF(AB61&lt;AE$3,(((Volatilities_Resets!$K50-Volatilities_Resets!$I50)/50)*((Calculator!AB61-Calculator!AD$3)*10000)+Volatilities_Resets!$I50)),IF(AB61&gt;=AD$2,IF(AB61&lt;AE$2,(((Volatilities_Resets!$I50-Volatilities_Resets!$G50)/50)*((Calculator!AB61-Calculator!AD$2)*10000)+Volatilities_Resets!$G50)),"Well, something broke...")))))))))))/10000</f>
        <v>1.3491E-2</v>
      </c>
      <c r="AE61" s="63">
        <f t="shared" ca="1" si="24"/>
        <v>18575.771111172326</v>
      </c>
      <c r="AF61" s="63">
        <f t="shared" ca="1" si="25"/>
        <v>7.490157821482585E-4</v>
      </c>
      <c r="AG61" s="63">
        <f t="shared" ca="1" si="45"/>
        <v>1147842.9425416072</v>
      </c>
      <c r="AJ61" s="63">
        <f t="shared" ca="1" si="26"/>
        <v>130.94463611157161</v>
      </c>
      <c r="AK61" s="63">
        <f ca="1">SUM($AJ$15:AJ61)</f>
        <v>4311.3932641524789</v>
      </c>
      <c r="AM61" s="52">
        <f ca="1">EXP(-AVERAGE(AC$15:AC61)*Z61)</f>
        <v>0.8751612307122052</v>
      </c>
      <c r="AO61" s="52">
        <f t="shared" ca="1" si="27"/>
        <v>47</v>
      </c>
      <c r="AP61" s="71">
        <f t="shared" ca="1" si="28"/>
        <v>46410</v>
      </c>
      <c r="AQ61" s="71">
        <f t="shared" ca="1" si="5"/>
        <v>46441</v>
      </c>
      <c r="AR61" s="72">
        <f t="shared" ca="1" si="6"/>
        <v>31</v>
      </c>
      <c r="AS61" s="73">
        <f ca="1">SUM(AR$15:AR61)/360</f>
        <v>3.9805555555555556</v>
      </c>
      <c r="AT61" s="74">
        <f t="shared" si="7"/>
        <v>25000000</v>
      </c>
      <c r="AU61" s="59">
        <f t="shared" si="29"/>
        <v>0.04</v>
      </c>
      <c r="AV61" s="57">
        <f>Volatilities_Resets!$E50*0.01</f>
        <v>2.8194799999999999E-2</v>
      </c>
      <c r="AW61" s="61">
        <f>IF(AU61=AX$11,Volatilities_Resets!$AA50,IF(AU61&gt;=AW$11,IF(AU61&lt;AX$11,(((Volatilities_Resets!$AA50-Volatilities_Resets!$Y50)/50)*((Calculator!AU61-Calculator!AW$11)*10000)+Volatilities_Resets!$Y50)),IF(AU61&gt;=AW$10,IF(AU61&lt;AX$10,(((Volatilities_Resets!$Y50-Volatilities_Resets!$W50)/50)*((Calculator!AU61-Calculator!AW$10)*10000)+Volatilities_Resets!$W50)),IF(AU61&gt;=AW$9,IF(AU61&lt;AX$9,(((Volatilities_Resets!$W50-Volatilities_Resets!$U50)/50)*((Calculator!AU61-Calculator!AW$9)*10000)+Volatilities_Resets!$U50)),IF(AU61&gt;=AW$8,IF(AU61&lt;AX$8,(((Volatilities_Resets!$U50-Volatilities_Resets!$S50)/50)*((Calculator!AU61-Calculator!AW$8)*10000)+Volatilities_Resets!$S50)),IF(AU61&gt;=AW$7,IF(AU61&lt;AX$7,(((Volatilities_Resets!$S50-Volatilities_Resets!$Q50)/50)*((Calculator!AU61-Calculator!AW$7)*10000)+Volatilities_Resets!$Q50)),IF(AU61&gt;=AW$6,IF(AU61&lt;AX$6,(((Volatilities_Resets!$Q50-Volatilities_Resets!$O50)/50)*((Calculator!AU61-Calculator!AW$6)*10000)+Volatilities_Resets!$O50)),IF(AU61&gt;=AW$5,IF(AU61&lt;AX$5,(((Volatilities_Resets!$O50-Volatilities_Resets!$M50)/50)*((Calculator!AU61-Calculator!AW$5)*10000)+Volatilities_Resets!$M50)),IF(AU61&gt;=AW$4,IF(AU61&lt;AX$4,(((Volatilities_Resets!$M50-Volatilities_Resets!$K50)/50)*((Calculator!AU61-Calculator!AW$4)*10000)+Volatilities_Resets!$K50)),IF(AU61&gt;=AW$3,IF(AU61&lt;AX$3,(((Volatilities_Resets!$K50-Volatilities_Resets!$I50)/50)*((Calculator!AU61-Calculator!AW$3)*10000)+Volatilities_Resets!$I50)),IF(AU61&gt;=AW$2,IF(AU61&lt;AX$2,(((Volatilities_Resets!$I50-Volatilities_Resets!$G50)/50)*((Calculator!AU61-Calculator!AW$2)*10000)+Volatilities_Resets!$G50)),"Well, something broke...")))))))))))/10000</f>
        <v>1.4399E-2</v>
      </c>
      <c r="AX61" s="63">
        <f t="shared" ca="1" si="30"/>
        <v>12269.637538786394</v>
      </c>
      <c r="AY61" s="63">
        <f t="shared" ca="1" si="31"/>
        <v>4.963013667330017E-4</v>
      </c>
      <c r="AZ61" s="63">
        <f t="shared" ca="1" si="46"/>
        <v>687856.71505697758</v>
      </c>
      <c r="BC61" s="63">
        <f t="shared" ca="1" si="8"/>
        <v>120.68178401810933</v>
      </c>
      <c r="BD61" s="63">
        <f ca="1">SUM($BC$15:BC61)</f>
        <v>4193.4156599908447</v>
      </c>
      <c r="BF61" s="52">
        <f ca="1">EXP(-AVERAGE(AV$15:AV61)*AS61)</f>
        <v>0.8751612307122052</v>
      </c>
      <c r="BH61" s="52">
        <f t="shared" ca="1" si="32"/>
        <v>47</v>
      </c>
      <c r="BI61" s="71">
        <f t="shared" ca="1" si="33"/>
        <v>46410</v>
      </c>
      <c r="BJ61" s="71">
        <f t="shared" ca="1" si="9"/>
        <v>46441</v>
      </c>
      <c r="BK61" s="72">
        <f t="shared" ca="1" si="10"/>
        <v>31</v>
      </c>
      <c r="BL61" s="73">
        <f ca="1">SUM(BK$15:BK61)/360</f>
        <v>3.9805555555555556</v>
      </c>
      <c r="BM61" s="74">
        <f t="shared" si="11"/>
        <v>25000000</v>
      </c>
      <c r="BN61" s="59">
        <f t="shared" si="34"/>
        <v>0.05</v>
      </c>
      <c r="BO61" s="57">
        <f>Volatilities_Resets!$E50*0.01</f>
        <v>2.8194799999999999E-2</v>
      </c>
      <c r="BP61" s="61">
        <f>IF(BN61=BQ$11,Volatilities_Resets!$AA50,IF(BN61&gt;=BP$11,IF(BN61&lt;BQ$11,(((Volatilities_Resets!$AA50-Volatilities_Resets!$Y50)/50)*((Calculator!BN61-Calculator!BP$11)*10000)+Volatilities_Resets!$Y50)),IF(BN61&gt;=BP$10,IF(BN61&lt;BQ$10,(((Volatilities_Resets!$Y50-Volatilities_Resets!$W50)/50)*((Calculator!BN61-Calculator!BP$10)*10000)+Volatilities_Resets!$W50)),IF(BN61&gt;=BP$9,IF(BN61&lt;BQ$9,(((Volatilities_Resets!$W50-Volatilities_Resets!$U50)/50)*((Calculator!BN61-Calculator!BP$9)*10000)+Volatilities_Resets!$U50)),IF(BN61&gt;=BP$8,IF(BN61&lt;BQ$8,(((Volatilities_Resets!$U50-Volatilities_Resets!$S50)/50)*((Calculator!BN61-Calculator!BP$8)*10000)+Volatilities_Resets!$S50)),IF(BN61&gt;=BP$7,IF(BN61&lt;BQ$7,(((Volatilities_Resets!$S50-Volatilities_Resets!$Q50)/50)*((Calculator!BN61-Calculator!BP$7)*10000)+Volatilities_Resets!$Q50)),IF(BN61&gt;=BP$6,IF(BN61&lt;BQ$6,(((Volatilities_Resets!$Q50-Volatilities_Resets!$O50)/50)*((Calculator!BN61-Calculator!BP$6)*10000)+Volatilities_Resets!$O50)),IF(BN61&gt;=BP$5,IF(BN61&lt;BQ$5,(((Volatilities_Resets!$O50-Volatilities_Resets!$M50)/50)*((Calculator!BN61-Calculator!BP$5)*10000)+Volatilities_Resets!$M50)),IF(BN61&gt;=BP$4,IF(BN61&lt;BQ$4,(((Volatilities_Resets!$M50-Volatilities_Resets!$K50)/50)*((Calculator!BN61-Calculator!BP$4)*10000)+Volatilities_Resets!$K50)),IF(BN61&gt;=BP$3,IF(BN61&lt;BQ$3,(((Volatilities_Resets!$K50-Volatilities_Resets!$I50)/50)*((Calculator!BN61-Calculator!BP$3)*10000)+Volatilities_Resets!$I50)),IF(BN61&gt;=BP$2,IF(BN61&lt;BQ$2,(((Volatilities_Resets!$I50-Volatilities_Resets!$G50)/50)*((Calculator!BN61-Calculator!BP$2)*10000)+Volatilities_Resets!$G50)),"Well, something broke...")))))))))))/10000</f>
        <v>1.5685000000000001E-2</v>
      </c>
      <c r="BQ61" s="63">
        <f t="shared" ca="1" si="35"/>
        <v>8469.7462808664586</v>
      </c>
      <c r="BR61" s="63">
        <f t="shared" ca="1" si="36"/>
        <v>3.4350253018301271E-4</v>
      </c>
      <c r="BS61" s="63">
        <f t="shared" ca="1" si="47"/>
        <v>358725.80236122839</v>
      </c>
      <c r="BV61" s="63">
        <f t="shared" ca="1" si="37"/>
        <v>103.1088477098331</v>
      </c>
      <c r="BW61" s="63">
        <f ca="1">SUM($BV$15:BV61)</f>
        <v>3608.1956911867123</v>
      </c>
      <c r="BY61" s="52">
        <f ca="1">EXP(-AVERAGE(BO$15:BO61)*BL61)</f>
        <v>0.8751612307122052</v>
      </c>
      <c r="CA61" s="52">
        <f t="shared" ca="1" si="38"/>
        <v>47</v>
      </c>
      <c r="CB61" s="71">
        <f t="shared" ca="1" si="39"/>
        <v>46410</v>
      </c>
      <c r="CC61" s="71">
        <f t="shared" ca="1" si="12"/>
        <v>46441</v>
      </c>
      <c r="CD61" s="72">
        <f t="shared" ca="1" si="13"/>
        <v>31</v>
      </c>
      <c r="CE61" s="73">
        <f ca="1">SUM(CD$15:CD61)/360</f>
        <v>3.9805555555555556</v>
      </c>
      <c r="CF61" s="74">
        <f t="shared" si="14"/>
        <v>25000000</v>
      </c>
      <c r="CG61" s="59">
        <f t="shared" si="40"/>
        <v>0.06</v>
      </c>
      <c r="CH61" s="57">
        <f>Volatilities_Resets!$E50*0.01</f>
        <v>2.8194799999999999E-2</v>
      </c>
      <c r="CI61" s="61">
        <f>IF(CG61=CJ$11,Volatilities_Resets!$AA50,IF(CG61&gt;=CI$11,IF(CG61&lt;CJ$11,(((Volatilities_Resets!$AA50-Volatilities_Resets!$Y50)/50)*((Calculator!CG61-Calculator!CI$11)*10000)+Volatilities_Resets!$Y50)),IF(CG61&gt;=CI$10,IF(CG61&lt;CJ$10,(((Volatilities_Resets!$Y50-Volatilities_Resets!$W50)/50)*((Calculator!CG61-Calculator!CI$10)*10000)+Volatilities_Resets!$W50)),IF(CG61&gt;=CI$9,IF(CG61&lt;CJ$9,(((Volatilities_Resets!$W50-Volatilities_Resets!$U50)/50)*((Calculator!CG61-Calculator!CI$9)*10000)+Volatilities_Resets!$U50)),IF(CG61&gt;=CI$8,IF(CG61&lt;CJ$8,(((Volatilities_Resets!$U50-Volatilities_Resets!$S50)/50)*((Calculator!CG61-Calculator!CI$8)*10000)+Volatilities_Resets!$S50)),IF(CG61&gt;=CI$7,IF(CG61&lt;CJ$7,(((Volatilities_Resets!$S50-Volatilities_Resets!$Q50)/50)*((Calculator!CG61-Calculator!CI$7)*10000)+Volatilities_Resets!$Q50)),IF(CG61&gt;=CI$6,IF(CG61&lt;CJ$6,(((Volatilities_Resets!$Q50-Volatilities_Resets!$O50)/50)*((Calculator!CG61-Calculator!CI$6)*10000)+Volatilities_Resets!$O50)),IF(CG61&gt;=CI$5,IF(CG61&lt;CJ$5,(((Volatilities_Resets!$O50-Volatilities_Resets!$M50)/50)*((Calculator!CG61-Calculator!CI$5)*10000)+Volatilities_Resets!$M50)),IF(CG61&gt;=CI$4,IF(CG61&lt;CJ$4,(((Volatilities_Resets!$M50-Volatilities_Resets!$K50)/50)*((Calculator!CG61-Calculator!CI$4)*10000)+Volatilities_Resets!$K50)),IF(CG61&gt;=CI$3,IF(CG61&lt;CJ$3,(((Volatilities_Resets!$K50-Volatilities_Resets!$I50)/50)*((Calculator!CG61-Calculator!CI$3)*10000)+Volatilities_Resets!$I50)),IF(CG61&gt;=CI$2,IF(CG61&lt;CJ$2,(((Volatilities_Resets!$I50-Volatilities_Resets!$G50)/50)*((Calculator!CG61-Calculator!CI$2)*10000)+Volatilities_Resets!$G50)),"Well, something broke...")))))))))))/10000</f>
        <v>1.7180000000000001E-2</v>
      </c>
      <c r="CJ61" s="63">
        <f t="shared" ca="1" si="41"/>
        <v>6160.5673509595954</v>
      </c>
      <c r="CK61" s="63">
        <f t="shared" ca="1" si="42"/>
        <v>2.5033242150203811E-4</v>
      </c>
      <c r="CL61" s="63">
        <f t="shared" ca="1" si="48"/>
        <v>193274.52571981467</v>
      </c>
      <c r="CO61" s="63">
        <f t="shared" ca="1" si="43"/>
        <v>85.541047471024626</v>
      </c>
      <c r="CP61" s="63">
        <f ca="1">SUM($CO$15:CO61)</f>
        <v>2689.5028491983198</v>
      </c>
      <c r="CR61" s="52">
        <f ca="1">EXP(-AVERAGE(CH$15:CH61)*CE61)</f>
        <v>0.8751612307122052</v>
      </c>
      <c r="CT61"/>
      <c r="CU61"/>
      <c r="CV61"/>
      <c r="CW61"/>
      <c r="CX61"/>
      <c r="CY61"/>
      <c r="CZ61"/>
      <c r="DA61"/>
      <c r="DB61"/>
      <c r="DC61"/>
      <c r="DD61"/>
      <c r="DE61"/>
      <c r="DF61"/>
      <c r="DG61"/>
      <c r="DH61"/>
      <c r="DI61"/>
      <c r="DJ61"/>
      <c r="DK61"/>
      <c r="DL61"/>
    </row>
    <row r="62" spans="2:116" ht="15.75" customHeight="1">
      <c r="B62" s="52">
        <v>4</v>
      </c>
      <c r="C62" s="75">
        <f t="shared" ca="1" si="49"/>
        <v>48</v>
      </c>
      <c r="D62" s="76">
        <f t="shared" ca="1" si="16"/>
        <v>46441</v>
      </c>
      <c r="E62" s="76">
        <f t="shared" ca="1" si="50"/>
        <v>46469</v>
      </c>
      <c r="F62" s="77">
        <f t="shared" ca="1" si="51"/>
        <v>28</v>
      </c>
      <c r="G62" s="78">
        <f ca="1">SUM($F$15:F62)/360</f>
        <v>4.0583333333333336</v>
      </c>
      <c r="H62" s="79">
        <f t="shared" si="2"/>
        <v>25000000</v>
      </c>
      <c r="I62" s="80">
        <f>IF('Cap Pricer'!$E$22=DataValidation!$C$2,'Cap Pricer'!$E$23,IF('Cap Pricer'!$E$22=DataValidation!$C$3,VLOOKUP($B62,'Cap Pricer'!$C$25:$E$31,3),""))</f>
        <v>0.02</v>
      </c>
      <c r="J62" s="81">
        <f>Volatilities_Resets!$E51*0.01</f>
        <v>2.8192599999999998E-2</v>
      </c>
      <c r="K62" s="82">
        <f>IF(I62=L$11,Volatilities_Resets!$AA51,IF(I62&gt;=K$11,IF(I62&lt;L$11,(((Volatilities_Resets!$AA51-Volatilities_Resets!$Y51)/50)*((Calculator!I62-Calculator!K$11)*10000)+Volatilities_Resets!$Y51)),IF(I62&gt;=K$10,IF(I62&lt;L$10,(((Volatilities_Resets!$Y51-Volatilities_Resets!$W51)/50)*((Calculator!I62-Calculator!K$10)*10000)+Volatilities_Resets!$W51)),IF(I62&gt;=K$9,IF(I62&lt;L$9,(((Volatilities_Resets!$W51-Volatilities_Resets!$U51)/50)*((Calculator!I62-Calculator!K$9)*10000)+Volatilities_Resets!$U51)),IF(I62&gt;=K$8,IF(I62&lt;L$8,(((Volatilities_Resets!$U51-Volatilities_Resets!$S51)/50)*((Calculator!I62-Calculator!K$8)*10000)+Volatilities_Resets!$S51)),IF(I62&gt;=K$7,IF(I62&lt;L$7,(((Volatilities_Resets!$S51-Volatilities_Resets!$Q51)/50)*((Calculator!I62-Calculator!K$7)*10000)+Volatilities_Resets!$Q51)),IF(I62&gt;=K$6,IF(I62&lt;L$6,(((Volatilities_Resets!$Q51-Volatilities_Resets!$O51)/50)*((Calculator!I62-Calculator!K$6)*10000)+Volatilities_Resets!$O51)),IF(I62&gt;=K$5,IF(I62&lt;L$5,(((Volatilities_Resets!$O51-Volatilities_Resets!$M51)/50)*((Calculator!I62-Calculator!K$5)*10000)+Volatilities_Resets!$M51)),IF(I62&gt;=K$4,IF(I62&lt;L$4,(((Volatilities_Resets!$M51-Volatilities_Resets!$K51)/50)*((Calculator!I62-Calculator!K$4)*10000)+Volatilities_Resets!$K51)),IF(I62&gt;=K$3,IF(I62&lt;L$3,(((Volatilities_Resets!$K51-Volatilities_Resets!$I51)/50)*((Calculator!I62-Calculator!K$3)*10000)+Volatilities_Resets!$I51)),IF(I62&gt;=K$2,IF(I62&lt;L$2,(((Volatilities_Resets!$I51-Volatilities_Resets!$G51)/50)*((Calculator!I62-Calculator!K$2)*10000)+Volatilities_Resets!$G51)),"Well, something broke...")))))))))))/10000</f>
        <v>1.2698000000000001E-2</v>
      </c>
      <c r="L62" s="83">
        <f t="shared" ca="1" si="17"/>
        <v>25165.565561914165</v>
      </c>
      <c r="M62" s="84">
        <f t="shared" ca="1" si="18"/>
        <v>1.0118105253424838E-3</v>
      </c>
      <c r="N62" s="84">
        <f t="shared" ca="1" si="44"/>
        <v>1761000.2878688518</v>
      </c>
      <c r="O62" s="84">
        <f ca="1">SUM(L51:L62)</f>
        <v>330824.17181449046</v>
      </c>
      <c r="P62" s="49"/>
      <c r="Q62" s="84">
        <f t="shared" ca="1" si="19"/>
        <v>113.26173707588538</v>
      </c>
      <c r="R62" s="84">
        <f ca="1">SUM($Q$15:Q62)</f>
        <v>4040.6729426760285</v>
      </c>
      <c r="T62" s="52">
        <f ca="1">EXP(-AVERAGE(J$15:J62)*G62)</f>
        <v>0.87327569542580374</v>
      </c>
      <c r="U62" s="57"/>
      <c r="V62" s="75">
        <f t="shared" ca="1" si="20"/>
        <v>48</v>
      </c>
      <c r="W62" s="76">
        <f t="shared" ca="1" si="21"/>
        <v>46441</v>
      </c>
      <c r="X62" s="76">
        <f t="shared" ca="1" si="3"/>
        <v>46469</v>
      </c>
      <c r="Y62" s="77">
        <f t="shared" ca="1" si="4"/>
        <v>28</v>
      </c>
      <c r="Z62" s="78">
        <f ca="1">SUM(Y$15:Y62)/360</f>
        <v>4.0583333333333336</v>
      </c>
      <c r="AA62" s="79">
        <f t="shared" si="22"/>
        <v>25000000</v>
      </c>
      <c r="AB62" s="80">
        <f t="shared" si="23"/>
        <v>0.03</v>
      </c>
      <c r="AC62" s="81">
        <f>Volatilities_Resets!$E51*0.01</f>
        <v>2.8192599999999998E-2</v>
      </c>
      <c r="AD62" s="82">
        <f>IF(AB62=AE$11,Volatilities_Resets!$AA51,IF(AB62&gt;=AD$11,IF(AB62&lt;AE$11,(((Volatilities_Resets!$AA51-Volatilities_Resets!$Y51)/50)*((Calculator!AB62-Calculator!AD$11)*10000)+Volatilities_Resets!$Y51)),IF(AB62&gt;=AD$10,IF(AB62&lt;AE$10,(((Volatilities_Resets!$Y51-Volatilities_Resets!$W51)/50)*((Calculator!AB62-Calculator!AD$10)*10000)+Volatilities_Resets!$W51)),IF(AB62&gt;=AD$9,IF(AB62&lt;AE$9,(((Volatilities_Resets!$W51-Volatilities_Resets!$U51)/50)*((Calculator!AB62-Calculator!AD$9)*10000)+Volatilities_Resets!$U51)),IF(AB62&gt;=AD$8,IF(AB62&lt;AE$8,(((Volatilities_Resets!$U51-Volatilities_Resets!$S51)/50)*((Calculator!AB62-Calculator!AD$8)*10000)+Volatilities_Resets!$S51)),IF(AB62&gt;=AD$7,IF(AB62&lt;AE$7,(((Volatilities_Resets!$S51-Volatilities_Resets!$Q51)/50)*((Calculator!AB62-Calculator!AD$7)*10000)+Volatilities_Resets!$Q51)),IF(AB62&gt;=AD$6,IF(AB62&lt;AE$6,(((Volatilities_Resets!$Q51-Volatilities_Resets!$O51)/50)*((Calculator!AB62-Calculator!AD$6)*10000)+Volatilities_Resets!$O51)),IF(AB62&gt;=AD$5,IF(AB62&lt;AE$5,(((Volatilities_Resets!$O51-Volatilities_Resets!$M51)/50)*((Calculator!AB62-Calculator!AD$5)*10000)+Volatilities_Resets!$M51)),IF(AB62&gt;=AD$4,IF(AB62&lt;AE$4,(((Volatilities_Resets!$M51-Volatilities_Resets!$K51)/50)*((Calculator!AB62-Calculator!AD$4)*10000)+Volatilities_Resets!$K51)),IF(AB62&gt;=AD$3,IF(AB62&lt;AE$3,(((Volatilities_Resets!$K51-Volatilities_Resets!$I51)/50)*((Calculator!AB62-Calculator!AD$3)*10000)+Volatilities_Resets!$I51)),IF(AB62&gt;=AD$2,IF(AB62&lt;AE$2,(((Volatilities_Resets!$I51-Volatilities_Resets!$G51)/50)*((Calculator!AB62-Calculator!AD$2)*10000)+Volatilities_Resets!$G51)),"Well, something broke...")))))))))))/10000</f>
        <v>1.2968E-2</v>
      </c>
      <c r="AE62" s="84">
        <f t="shared" ca="1" si="24"/>
        <v>16204.991963573168</v>
      </c>
      <c r="AF62" s="84">
        <f t="shared" ca="1" si="25"/>
        <v>6.536454500240199E-4</v>
      </c>
      <c r="AG62" s="84">
        <f t="shared" ca="1" si="45"/>
        <v>1164047.9345051805</v>
      </c>
      <c r="AH62" s="84">
        <f ca="1">SUM(AE51:AE62)</f>
        <v>215504.31518840988</v>
      </c>
      <c r="AI62" s="49"/>
      <c r="AJ62" s="84">
        <f t="shared" ca="1" si="26"/>
        <v>118.89149693204129</v>
      </c>
      <c r="AK62" s="84">
        <f ca="1">SUM($AJ$15:AJ62)</f>
        <v>4430.2847610845201</v>
      </c>
      <c r="AM62" s="52">
        <f ca="1">EXP(-AVERAGE(AC$15:AC62)*Z62)</f>
        <v>0.87327569542580374</v>
      </c>
      <c r="AO62" s="75">
        <f t="shared" ca="1" si="27"/>
        <v>48</v>
      </c>
      <c r="AP62" s="76">
        <f t="shared" ca="1" si="28"/>
        <v>46441</v>
      </c>
      <c r="AQ62" s="76">
        <f t="shared" ca="1" si="5"/>
        <v>46469</v>
      </c>
      <c r="AR62" s="77">
        <f t="shared" ca="1" si="6"/>
        <v>28</v>
      </c>
      <c r="AS62" s="78">
        <f ca="1">SUM(AR$15:AR62)/360</f>
        <v>4.0583333333333336</v>
      </c>
      <c r="AT62" s="79">
        <f t="shared" si="7"/>
        <v>25000000</v>
      </c>
      <c r="AU62" s="80">
        <f t="shared" si="29"/>
        <v>0.04</v>
      </c>
      <c r="AV62" s="81">
        <f>Volatilities_Resets!$E51*0.01</f>
        <v>2.8192599999999998E-2</v>
      </c>
      <c r="AW62" s="82">
        <f>IF(AU62=AX$11,Volatilities_Resets!$AA51,IF(AU62&gt;=AW$11,IF(AU62&lt;AX$11,(((Volatilities_Resets!$AA51-Volatilities_Resets!$Y51)/50)*((Calculator!AU62-Calculator!AW$11)*10000)+Volatilities_Resets!$Y51)),IF(AU62&gt;=AW$10,IF(AU62&lt;AX$10,(((Volatilities_Resets!$Y51-Volatilities_Resets!$W51)/50)*((Calculator!AU62-Calculator!AW$10)*10000)+Volatilities_Resets!$W51)),IF(AU62&gt;=AW$9,IF(AU62&lt;AX$9,(((Volatilities_Resets!$W51-Volatilities_Resets!$U51)/50)*((Calculator!AU62-Calculator!AW$9)*10000)+Volatilities_Resets!$U51)),IF(AU62&gt;=AW$8,IF(AU62&lt;AX$8,(((Volatilities_Resets!$U51-Volatilities_Resets!$S51)/50)*((Calculator!AU62-Calculator!AW$8)*10000)+Volatilities_Resets!$S51)),IF(AU62&gt;=AW$7,IF(AU62&lt;AX$7,(((Volatilities_Resets!$S51-Volatilities_Resets!$Q51)/50)*((Calculator!AU62-Calculator!AW$7)*10000)+Volatilities_Resets!$Q51)),IF(AU62&gt;=AW$6,IF(AU62&lt;AX$6,(((Volatilities_Resets!$Q51-Volatilities_Resets!$O51)/50)*((Calculator!AU62-Calculator!AW$6)*10000)+Volatilities_Resets!$O51)),IF(AU62&gt;=AW$5,IF(AU62&lt;AX$5,(((Volatilities_Resets!$O51-Volatilities_Resets!$M51)/50)*((Calculator!AU62-Calculator!AW$5)*10000)+Volatilities_Resets!$M51)),IF(AU62&gt;=AW$4,IF(AU62&lt;AX$4,(((Volatilities_Resets!$M51-Volatilities_Resets!$K51)/50)*((Calculator!AU62-Calculator!AW$4)*10000)+Volatilities_Resets!$K51)),IF(AU62&gt;=AW$3,IF(AU62&lt;AX$3,(((Volatilities_Resets!$K51-Volatilities_Resets!$I51)/50)*((Calculator!AU62-Calculator!AW$3)*10000)+Volatilities_Resets!$I51)),IF(AU62&gt;=AW$2,IF(AU62&lt;AX$2,(((Volatilities_Resets!$I51-Volatilities_Resets!$G51)/50)*((Calculator!AU62-Calculator!AW$2)*10000)+Volatilities_Resets!$G51)),"Well, something broke...")))))))))))/10000</f>
        <v>1.3766999999999998E-2</v>
      </c>
      <c r="AX62" s="84">
        <f t="shared" ca="1" si="30"/>
        <v>10440.234060158349</v>
      </c>
      <c r="AY62" s="84">
        <f t="shared" ca="1" si="31"/>
        <v>4.2259839530020516E-4</v>
      </c>
      <c r="AZ62" s="84">
        <f t="shared" ca="1" si="46"/>
        <v>698296.94911713596</v>
      </c>
      <c r="BA62" s="84">
        <f ca="1">SUM(AX51:AX62)</f>
        <v>141376.54432223001</v>
      </c>
      <c r="BB62" s="49"/>
      <c r="BC62" s="84">
        <f t="shared" ca="1" si="8"/>
        <v>108.92002924743888</v>
      </c>
      <c r="BD62" s="84">
        <f ca="1">SUM($BC$15:BC62)</f>
        <v>4302.3356892382835</v>
      </c>
      <c r="BF62" s="52">
        <f ca="1">EXP(-AVERAGE(AV$15:AV62)*AS62)</f>
        <v>0.87327569542580374</v>
      </c>
      <c r="BH62" s="75">
        <f t="shared" ca="1" si="32"/>
        <v>48</v>
      </c>
      <c r="BI62" s="76">
        <f t="shared" ca="1" si="33"/>
        <v>46441</v>
      </c>
      <c r="BJ62" s="76">
        <f t="shared" ca="1" si="9"/>
        <v>46469</v>
      </c>
      <c r="BK62" s="77">
        <f t="shared" ca="1" si="10"/>
        <v>28</v>
      </c>
      <c r="BL62" s="78">
        <f ca="1">SUM(BK$15:BK62)/360</f>
        <v>4.0583333333333336</v>
      </c>
      <c r="BM62" s="79">
        <f t="shared" si="11"/>
        <v>25000000</v>
      </c>
      <c r="BN62" s="80">
        <f t="shared" si="34"/>
        <v>0.05</v>
      </c>
      <c r="BO62" s="81">
        <f>Volatilities_Resets!$E51*0.01</f>
        <v>2.8192599999999998E-2</v>
      </c>
      <c r="BP62" s="82">
        <f>IF(BN62=BQ$11,Volatilities_Resets!$AA51,IF(BN62&gt;=BP$11,IF(BN62&lt;BQ$11,(((Volatilities_Resets!$AA51-Volatilities_Resets!$Y51)/50)*((Calculator!BN62-Calculator!BP$11)*10000)+Volatilities_Resets!$Y51)),IF(BN62&gt;=BP$10,IF(BN62&lt;BQ$10,(((Volatilities_Resets!$Y51-Volatilities_Resets!$W51)/50)*((Calculator!BN62-Calculator!BP$10)*10000)+Volatilities_Resets!$W51)),IF(BN62&gt;=BP$9,IF(BN62&lt;BQ$9,(((Volatilities_Resets!$W51-Volatilities_Resets!$U51)/50)*((Calculator!BN62-Calculator!BP$9)*10000)+Volatilities_Resets!$U51)),IF(BN62&gt;=BP$8,IF(BN62&lt;BQ$8,(((Volatilities_Resets!$U51-Volatilities_Resets!$S51)/50)*((Calculator!BN62-Calculator!BP$8)*10000)+Volatilities_Resets!$S51)),IF(BN62&gt;=BP$7,IF(BN62&lt;BQ$7,(((Volatilities_Resets!$S51-Volatilities_Resets!$Q51)/50)*((Calculator!BN62-Calculator!BP$7)*10000)+Volatilities_Resets!$Q51)),IF(BN62&gt;=BP$6,IF(BN62&lt;BQ$6,(((Volatilities_Resets!$Q51-Volatilities_Resets!$O51)/50)*((Calculator!BN62-Calculator!BP$6)*10000)+Volatilities_Resets!$O51)),IF(BN62&gt;=BP$5,IF(BN62&lt;BQ$5,(((Volatilities_Resets!$O51-Volatilities_Resets!$M51)/50)*((Calculator!BN62-Calculator!BP$5)*10000)+Volatilities_Resets!$M51)),IF(BN62&gt;=BP$4,IF(BN62&lt;BQ$4,(((Volatilities_Resets!$M51-Volatilities_Resets!$K51)/50)*((Calculator!BN62-Calculator!BP$4)*10000)+Volatilities_Resets!$K51)),IF(BN62&gt;=BP$3,IF(BN62&lt;BQ$3,(((Volatilities_Resets!$K51-Volatilities_Resets!$I51)/50)*((Calculator!BN62-Calculator!BP$3)*10000)+Volatilities_Resets!$I51)),IF(BN62&gt;=BP$2,IF(BN62&lt;BQ$2,(((Volatilities_Resets!$I51-Volatilities_Resets!$G51)/50)*((Calculator!BN62-Calculator!BP$2)*10000)+Volatilities_Resets!$G51)),"Well, something broke...")))))))))))/10000</f>
        <v>1.4966999999999999E-2</v>
      </c>
      <c r="BQ62" s="84">
        <f t="shared" ca="1" si="35"/>
        <v>7031.3177121057679</v>
      </c>
      <c r="BR62" s="84">
        <f t="shared" ca="1" si="36"/>
        <v>2.8546243328238518E-4</v>
      </c>
      <c r="BS62" s="84">
        <f t="shared" ca="1" si="47"/>
        <v>365757.12007333414</v>
      </c>
      <c r="BT62" s="84">
        <f ca="1">SUM(BQ51:BQ62)</f>
        <v>96789.525108828806</v>
      </c>
      <c r="BU62" s="49"/>
      <c r="BV62" s="84">
        <f t="shared" ca="1" si="37"/>
        <v>91.906258766489785</v>
      </c>
      <c r="BW62" s="84">
        <f ca="1">SUM($BV$15:BV62)</f>
        <v>3700.1019499532022</v>
      </c>
      <c r="BY62" s="52">
        <f ca="1">EXP(-AVERAGE(BO$15:BO62)*BL62)</f>
        <v>0.87327569542580374</v>
      </c>
      <c r="CA62" s="75">
        <f t="shared" ca="1" si="38"/>
        <v>48</v>
      </c>
      <c r="CB62" s="76">
        <f t="shared" ca="1" si="39"/>
        <v>46441</v>
      </c>
      <c r="CC62" s="76">
        <f t="shared" ca="1" si="12"/>
        <v>46469</v>
      </c>
      <c r="CD62" s="77">
        <f t="shared" ca="1" si="13"/>
        <v>28</v>
      </c>
      <c r="CE62" s="78">
        <f ca="1">SUM(CD$15:CD62)/360</f>
        <v>4.0583333333333336</v>
      </c>
      <c r="CF62" s="79">
        <f t="shared" si="14"/>
        <v>25000000</v>
      </c>
      <c r="CG62" s="80">
        <f t="shared" si="40"/>
        <v>0.06</v>
      </c>
      <c r="CH62" s="81">
        <f>Volatilities_Resets!$E51*0.01</f>
        <v>2.8192599999999998E-2</v>
      </c>
      <c r="CI62" s="82">
        <f>IF(CG62=CJ$11,Volatilities_Resets!$AA51,IF(CG62&gt;=CI$11,IF(CG62&lt;CJ$11,(((Volatilities_Resets!$AA51-Volatilities_Resets!$Y51)/50)*((Calculator!CG62-Calculator!CI$11)*10000)+Volatilities_Resets!$Y51)),IF(CG62&gt;=CI$10,IF(CG62&lt;CJ$10,(((Volatilities_Resets!$Y51-Volatilities_Resets!$W51)/50)*((Calculator!CG62-Calculator!CI$10)*10000)+Volatilities_Resets!$W51)),IF(CG62&gt;=CI$9,IF(CG62&lt;CJ$9,(((Volatilities_Resets!$W51-Volatilities_Resets!$U51)/50)*((Calculator!CG62-Calculator!CI$9)*10000)+Volatilities_Resets!$U51)),IF(CG62&gt;=CI$8,IF(CG62&lt;CJ$8,(((Volatilities_Resets!$U51-Volatilities_Resets!$S51)/50)*((Calculator!CG62-Calculator!CI$8)*10000)+Volatilities_Resets!$S51)),IF(CG62&gt;=CI$7,IF(CG62&lt;CJ$7,(((Volatilities_Resets!$S51-Volatilities_Resets!$Q51)/50)*((Calculator!CG62-Calculator!CI$7)*10000)+Volatilities_Resets!$Q51)),IF(CG62&gt;=CI$6,IF(CG62&lt;CJ$6,(((Volatilities_Resets!$Q51-Volatilities_Resets!$O51)/50)*((Calculator!CG62-Calculator!CI$6)*10000)+Volatilities_Resets!$O51)),IF(CG62&gt;=CI$5,IF(CG62&lt;CJ$5,(((Volatilities_Resets!$O51-Volatilities_Resets!$M51)/50)*((Calculator!CG62-Calculator!CI$5)*10000)+Volatilities_Resets!$M51)),IF(CG62&gt;=CI$4,IF(CG62&lt;CJ$4,(((Volatilities_Resets!$M51-Volatilities_Resets!$K51)/50)*((Calculator!CG62-Calculator!CI$4)*10000)+Volatilities_Resets!$K51)),IF(CG62&gt;=CI$3,IF(CG62&lt;CJ$3,(((Volatilities_Resets!$K51-Volatilities_Resets!$I51)/50)*((Calculator!CG62-Calculator!CI$3)*10000)+Volatilities_Resets!$I51)),IF(CG62&gt;=CI$2,IF(CG62&lt;CJ$2,(((Volatilities_Resets!$I51-Volatilities_Resets!$G51)/50)*((Calculator!CG62-Calculator!CI$2)*10000)+Volatilities_Resets!$G51)),"Well, something broke...")))))))))))/10000</f>
        <v>1.6392E-2</v>
      </c>
      <c r="CJ62" s="84">
        <f t="shared" ca="1" si="41"/>
        <v>5008.2958557264083</v>
      </c>
      <c r="CK62" s="84">
        <f t="shared" ca="1" si="42"/>
        <v>2.0377413049545615E-4</v>
      </c>
      <c r="CL62" s="84">
        <f t="shared" ca="1" si="48"/>
        <v>198282.82157554108</v>
      </c>
      <c r="CM62" s="84">
        <f ca="1">SUM(CJ51:CJ62)</f>
        <v>69722.450343469274</v>
      </c>
      <c r="CN62" s="49"/>
      <c r="CO62" s="84">
        <f t="shared" ca="1" si="43"/>
        <v>75.151841647548878</v>
      </c>
      <c r="CP62" s="84">
        <f ca="1">SUM($CO$15:CO62)</f>
        <v>2764.6546908458686</v>
      </c>
      <c r="CR62" s="52">
        <f ca="1">EXP(-AVERAGE(CH$15:CH62)*CE62)</f>
        <v>0.87327569542580374</v>
      </c>
      <c r="CT62"/>
      <c r="CU62"/>
      <c r="CV62"/>
      <c r="CW62"/>
      <c r="CX62"/>
      <c r="CY62"/>
      <c r="CZ62"/>
      <c r="DA62"/>
      <c r="DB62"/>
      <c r="DC62"/>
      <c r="DD62"/>
      <c r="DE62"/>
      <c r="DF62"/>
      <c r="DG62"/>
      <c r="DH62"/>
      <c r="DI62"/>
      <c r="DJ62"/>
      <c r="DK62"/>
      <c r="DL62"/>
    </row>
    <row r="63" spans="2:116" ht="15.75" customHeight="1">
      <c r="B63" s="52">
        <v>5</v>
      </c>
      <c r="C63" s="52">
        <f t="shared" ca="1" si="49"/>
        <v>49</v>
      </c>
      <c r="D63" s="71">
        <f t="shared" ca="1" si="16"/>
        <v>46469</v>
      </c>
      <c r="E63" s="71">
        <f t="shared" ca="1" si="50"/>
        <v>46500</v>
      </c>
      <c r="F63" s="72">
        <f t="shared" ca="1" si="51"/>
        <v>31</v>
      </c>
      <c r="G63" s="73">
        <f ca="1">SUM($F$15:F63)/360</f>
        <v>4.1444444444444448</v>
      </c>
      <c r="H63" s="74">
        <f t="shared" si="2"/>
        <v>25000000</v>
      </c>
      <c r="I63" s="59">
        <f>IF('Cap Pricer'!$E$22=DataValidation!$C$2,'Cap Pricer'!$E$23,IF('Cap Pricer'!$E$22=DataValidation!$C$3,VLOOKUP($B63,'Cap Pricer'!$C$25:$E$31,3),""))</f>
        <v>0.02</v>
      </c>
      <c r="J63" s="57">
        <f>Volatilities_Resets!$E52*0.01</f>
        <v>2.8291300000000002E-2</v>
      </c>
      <c r="K63" s="61">
        <f>IF(I63=L$11,Volatilities_Resets!$AA52,IF(I63&gt;=K$11,IF(I63&lt;L$11,(((Volatilities_Resets!$AA52-Volatilities_Resets!$Y52)/50)*((Calculator!I63-Calculator!K$11)*10000)+Volatilities_Resets!$Y52)),IF(I63&gt;=K$10,IF(I63&lt;L$10,(((Volatilities_Resets!$Y52-Volatilities_Resets!$W52)/50)*((Calculator!I63-Calculator!K$10)*10000)+Volatilities_Resets!$W52)),IF(I63&gt;=K$9,IF(I63&lt;L$9,(((Volatilities_Resets!$W52-Volatilities_Resets!$U52)/50)*((Calculator!I63-Calculator!K$9)*10000)+Volatilities_Resets!$U52)),IF(I63&gt;=K$8,IF(I63&lt;L$8,(((Volatilities_Resets!$U52-Volatilities_Resets!$S52)/50)*((Calculator!I63-Calculator!K$8)*10000)+Volatilities_Resets!$S52)),IF(I63&gt;=K$7,IF(I63&lt;L$7,(((Volatilities_Resets!$S52-Volatilities_Resets!$Q52)/50)*((Calculator!I63-Calculator!K$7)*10000)+Volatilities_Resets!$Q52)),IF(I63&gt;=K$6,IF(I63&lt;L$6,(((Volatilities_Resets!$Q52-Volatilities_Resets!$O52)/50)*((Calculator!I63-Calculator!K$6)*10000)+Volatilities_Resets!$O52)),IF(I63&gt;=K$5,IF(I63&lt;L$5,(((Volatilities_Resets!$O52-Volatilities_Resets!$M52)/50)*((Calculator!I63-Calculator!K$5)*10000)+Volatilities_Resets!$M52)),IF(I63&gt;=K$4,IF(I63&lt;L$4,(((Volatilities_Resets!$M52-Volatilities_Resets!$K52)/50)*((Calculator!I63-Calculator!K$4)*10000)+Volatilities_Resets!$K52)),IF(I63&gt;=K$3,IF(I63&lt;L$3,(((Volatilities_Resets!$K52-Volatilities_Resets!$I52)/50)*((Calculator!I63-Calculator!K$3)*10000)+Volatilities_Resets!$I52)),IF(I63&gt;=K$2,IF(I63&lt;L$2,(((Volatilities_Resets!$I52-Volatilities_Resets!$G52)/50)*((Calculator!I63-Calculator!K$2)*10000)+Volatilities_Resets!$G52)),"Well, something broke...")))))))))))/10000</f>
        <v>1.2354E-2</v>
      </c>
      <c r="L63" s="47">
        <f t="shared" ca="1" si="17"/>
        <v>27604.579550707997</v>
      </c>
      <c r="M63" s="63">
        <f t="shared" ca="1" si="18"/>
        <v>1.1099559162527548E-3</v>
      </c>
      <c r="N63" s="63">
        <f t="shared" ca="1" si="44"/>
        <v>1788604.8674195597</v>
      </c>
      <c r="Q63" s="63">
        <f t="shared" ca="1" si="19"/>
        <v>125.7220720849693</v>
      </c>
      <c r="R63" s="63">
        <f ca="1">SUM($Q$15:Q63)</f>
        <v>4166.3950147609976</v>
      </c>
      <c r="T63" s="52">
        <f ca="1">EXP(-AVERAGE(J$15:J63)*G63)</f>
        <v>0.87114401735531111</v>
      </c>
      <c r="U63" s="57"/>
      <c r="V63" s="52">
        <f t="shared" ca="1" si="20"/>
        <v>49</v>
      </c>
      <c r="W63" s="71">
        <f t="shared" ca="1" si="21"/>
        <v>46469</v>
      </c>
      <c r="X63" s="71">
        <f t="shared" ca="1" si="3"/>
        <v>46500</v>
      </c>
      <c r="Y63" s="72">
        <f t="shared" ca="1" si="4"/>
        <v>31</v>
      </c>
      <c r="Z63" s="73">
        <f ca="1">SUM(Y$15:Y63)/360</f>
        <v>4.1444444444444448</v>
      </c>
      <c r="AA63" s="74">
        <f t="shared" si="22"/>
        <v>25000000</v>
      </c>
      <c r="AB63" s="59">
        <f t="shared" si="23"/>
        <v>0.03</v>
      </c>
      <c r="AC63" s="57">
        <f>Volatilities_Resets!$E52*0.01</f>
        <v>2.8291300000000002E-2</v>
      </c>
      <c r="AD63" s="61">
        <f>IF(AB63=AE$11,Volatilities_Resets!$AA52,IF(AB63&gt;=AD$11,IF(AB63&lt;AE$11,(((Volatilities_Resets!$AA52-Volatilities_Resets!$Y52)/50)*((Calculator!AB63-Calculator!AD$11)*10000)+Volatilities_Resets!$Y52)),IF(AB63&gt;=AD$10,IF(AB63&lt;AE$10,(((Volatilities_Resets!$Y52-Volatilities_Resets!$W52)/50)*((Calculator!AB63-Calculator!AD$10)*10000)+Volatilities_Resets!$W52)),IF(AB63&gt;=AD$9,IF(AB63&lt;AE$9,(((Volatilities_Resets!$W52-Volatilities_Resets!$U52)/50)*((Calculator!AB63-Calculator!AD$9)*10000)+Volatilities_Resets!$U52)),IF(AB63&gt;=AD$8,IF(AB63&lt;AE$8,(((Volatilities_Resets!$U52-Volatilities_Resets!$S52)/50)*((Calculator!AB63-Calculator!AD$8)*10000)+Volatilities_Resets!$S52)),IF(AB63&gt;=AD$7,IF(AB63&lt;AE$7,(((Volatilities_Resets!$S52-Volatilities_Resets!$Q52)/50)*((Calculator!AB63-Calculator!AD$7)*10000)+Volatilities_Resets!$Q52)),IF(AB63&gt;=AD$6,IF(AB63&lt;AE$6,(((Volatilities_Resets!$Q52-Volatilities_Resets!$O52)/50)*((Calculator!AB63-Calculator!AD$6)*10000)+Volatilities_Resets!$O52)),IF(AB63&gt;=AD$5,IF(AB63&lt;AE$5,(((Volatilities_Resets!$O52-Volatilities_Resets!$M52)/50)*((Calculator!AB63-Calculator!AD$5)*10000)+Volatilities_Resets!$M52)),IF(AB63&gt;=AD$4,IF(AB63&lt;AE$4,(((Volatilities_Resets!$M52-Volatilities_Resets!$K52)/50)*((Calculator!AB63-Calculator!AD$4)*10000)+Volatilities_Resets!$K52)),IF(AB63&gt;=AD$3,IF(AB63&lt;AE$3,(((Volatilities_Resets!$K52-Volatilities_Resets!$I52)/50)*((Calculator!AB63-Calculator!AD$3)*10000)+Volatilities_Resets!$I52)),IF(AB63&gt;=AD$2,IF(AB63&lt;AE$2,(((Volatilities_Resets!$I52-Volatilities_Resets!$G52)/50)*((Calculator!AB63-Calculator!AD$2)*10000)+Volatilities_Resets!$G52)),"Well, something broke...")))))))))))/10000</f>
        <v>1.2579E-2</v>
      </c>
      <c r="AE63" s="63">
        <f t="shared" ca="1" si="24"/>
        <v>17599.653970433024</v>
      </c>
      <c r="AF63" s="63">
        <f t="shared" ca="1" si="25"/>
        <v>7.1006517394509039E-4</v>
      </c>
      <c r="AG63" s="63">
        <f t="shared" ca="1" si="45"/>
        <v>1181647.5884756134</v>
      </c>
      <c r="AJ63" s="63">
        <f t="shared" ca="1" si="26"/>
        <v>132.39244149921993</v>
      </c>
      <c r="AK63" s="63">
        <f ca="1">SUM($AJ$15:AJ63)</f>
        <v>4562.6772025837399</v>
      </c>
      <c r="AM63" s="52">
        <f ca="1">EXP(-AVERAGE(AC$15:AC63)*Z63)</f>
        <v>0.87114401735531111</v>
      </c>
      <c r="AO63" s="52">
        <f t="shared" ca="1" si="27"/>
        <v>49</v>
      </c>
      <c r="AP63" s="71">
        <f t="shared" ca="1" si="28"/>
        <v>46469</v>
      </c>
      <c r="AQ63" s="71">
        <f t="shared" ca="1" si="5"/>
        <v>46500</v>
      </c>
      <c r="AR63" s="72">
        <f t="shared" ca="1" si="6"/>
        <v>31</v>
      </c>
      <c r="AS63" s="73">
        <f ca="1">SUM(AR$15:AR63)/360</f>
        <v>4.1444444444444448</v>
      </c>
      <c r="AT63" s="74">
        <f t="shared" si="7"/>
        <v>25000000</v>
      </c>
      <c r="AU63" s="59">
        <f t="shared" si="29"/>
        <v>0.04</v>
      </c>
      <c r="AV63" s="57">
        <f>Volatilities_Resets!$E52*0.01</f>
        <v>2.8291300000000002E-2</v>
      </c>
      <c r="AW63" s="61">
        <f>IF(AU63=AX$11,Volatilities_Resets!$AA52,IF(AU63&gt;=AW$11,IF(AU63&lt;AX$11,(((Volatilities_Resets!$AA52-Volatilities_Resets!$Y52)/50)*((Calculator!AU63-Calculator!AW$11)*10000)+Volatilities_Resets!$Y52)),IF(AU63&gt;=AW$10,IF(AU63&lt;AX$10,(((Volatilities_Resets!$Y52-Volatilities_Resets!$W52)/50)*((Calculator!AU63-Calculator!AW$10)*10000)+Volatilities_Resets!$W52)),IF(AU63&gt;=AW$9,IF(AU63&lt;AX$9,(((Volatilities_Resets!$W52-Volatilities_Resets!$U52)/50)*((Calculator!AU63-Calculator!AW$9)*10000)+Volatilities_Resets!$U52)),IF(AU63&gt;=AW$8,IF(AU63&lt;AX$8,(((Volatilities_Resets!$U52-Volatilities_Resets!$S52)/50)*((Calculator!AU63-Calculator!AW$8)*10000)+Volatilities_Resets!$S52)),IF(AU63&gt;=AW$7,IF(AU63&lt;AX$7,(((Volatilities_Resets!$S52-Volatilities_Resets!$Q52)/50)*((Calculator!AU63-Calculator!AW$7)*10000)+Volatilities_Resets!$Q52)),IF(AU63&gt;=AW$6,IF(AU63&lt;AX$6,(((Volatilities_Resets!$Q52-Volatilities_Resets!$O52)/50)*((Calculator!AU63-Calculator!AW$6)*10000)+Volatilities_Resets!$O52)),IF(AU63&gt;=AW$5,IF(AU63&lt;AX$5,(((Volatilities_Resets!$O52-Volatilities_Resets!$M52)/50)*((Calculator!AU63-Calculator!AW$5)*10000)+Volatilities_Resets!$M52)),IF(AU63&gt;=AW$4,IF(AU63&lt;AX$4,(((Volatilities_Resets!$M52-Volatilities_Resets!$K52)/50)*((Calculator!AU63-Calculator!AW$4)*10000)+Volatilities_Resets!$K52)),IF(AU63&gt;=AW$3,IF(AU63&lt;AX$3,(((Volatilities_Resets!$K52-Volatilities_Resets!$I52)/50)*((Calculator!AU63-Calculator!AW$3)*10000)+Volatilities_Resets!$I52)),IF(AU63&gt;=AW$2,IF(AU63&lt;AX$2,(((Volatilities_Resets!$I52-Volatilities_Resets!$G52)/50)*((Calculator!AU63-Calculator!AW$2)*10000)+Volatilities_Resets!$G52)),"Well, something broke...")))))))))))/10000</f>
        <v>1.3337E-2</v>
      </c>
      <c r="AX63" s="63">
        <f t="shared" ca="1" si="30"/>
        <v>11194.74662312108</v>
      </c>
      <c r="AY63" s="63">
        <f t="shared" ca="1" si="31"/>
        <v>4.5334520728359688E-4</v>
      </c>
      <c r="AZ63" s="63">
        <f t="shared" ca="1" si="46"/>
        <v>709491.69574025704</v>
      </c>
      <c r="BC63" s="63">
        <f t="shared" ca="1" si="8"/>
        <v>120.98758150472015</v>
      </c>
      <c r="BD63" s="63">
        <f ca="1">SUM($BC$15:BC63)</f>
        <v>4423.3232707430034</v>
      </c>
      <c r="BF63" s="52">
        <f ca="1">EXP(-AVERAGE(AV$15:AV63)*AS63)</f>
        <v>0.87114401735531111</v>
      </c>
      <c r="BH63" s="52">
        <f t="shared" ca="1" si="32"/>
        <v>49</v>
      </c>
      <c r="BI63" s="71">
        <f t="shared" ca="1" si="33"/>
        <v>46469</v>
      </c>
      <c r="BJ63" s="71">
        <f t="shared" ca="1" si="9"/>
        <v>46500</v>
      </c>
      <c r="BK63" s="72">
        <f t="shared" ca="1" si="10"/>
        <v>31</v>
      </c>
      <c r="BL63" s="73">
        <f ca="1">SUM(BK$15:BK63)/360</f>
        <v>4.1444444444444448</v>
      </c>
      <c r="BM63" s="74">
        <f t="shared" si="11"/>
        <v>25000000</v>
      </c>
      <c r="BN63" s="59">
        <f t="shared" si="34"/>
        <v>0.05</v>
      </c>
      <c r="BO63" s="57">
        <f>Volatilities_Resets!$E52*0.01</f>
        <v>2.8291300000000002E-2</v>
      </c>
      <c r="BP63" s="61">
        <f>IF(BN63=BQ$11,Volatilities_Resets!$AA52,IF(BN63&gt;=BP$11,IF(BN63&lt;BQ$11,(((Volatilities_Resets!$AA52-Volatilities_Resets!$Y52)/50)*((Calculator!BN63-Calculator!BP$11)*10000)+Volatilities_Resets!$Y52)),IF(BN63&gt;=BP$10,IF(BN63&lt;BQ$10,(((Volatilities_Resets!$Y52-Volatilities_Resets!$W52)/50)*((Calculator!BN63-Calculator!BP$10)*10000)+Volatilities_Resets!$W52)),IF(BN63&gt;=BP$9,IF(BN63&lt;BQ$9,(((Volatilities_Resets!$W52-Volatilities_Resets!$U52)/50)*((Calculator!BN63-Calculator!BP$9)*10000)+Volatilities_Resets!$U52)),IF(BN63&gt;=BP$8,IF(BN63&lt;BQ$8,(((Volatilities_Resets!$U52-Volatilities_Resets!$S52)/50)*((Calculator!BN63-Calculator!BP$8)*10000)+Volatilities_Resets!$S52)),IF(BN63&gt;=BP$7,IF(BN63&lt;BQ$7,(((Volatilities_Resets!$S52-Volatilities_Resets!$Q52)/50)*((Calculator!BN63-Calculator!BP$7)*10000)+Volatilities_Resets!$Q52)),IF(BN63&gt;=BP$6,IF(BN63&lt;BQ$6,(((Volatilities_Resets!$Q52-Volatilities_Resets!$O52)/50)*((Calculator!BN63-Calculator!BP$6)*10000)+Volatilities_Resets!$O52)),IF(BN63&gt;=BP$5,IF(BN63&lt;BQ$5,(((Volatilities_Resets!$O52-Volatilities_Resets!$M52)/50)*((Calculator!BN63-Calculator!BP$5)*10000)+Volatilities_Resets!$M52)),IF(BN63&gt;=BP$4,IF(BN63&lt;BQ$4,(((Volatilities_Resets!$M52-Volatilities_Resets!$K52)/50)*((Calculator!BN63-Calculator!BP$4)*10000)+Volatilities_Resets!$K52)),IF(BN63&gt;=BP$3,IF(BN63&lt;BQ$3,(((Volatilities_Resets!$K52-Volatilities_Resets!$I52)/50)*((Calculator!BN63-Calculator!BP$3)*10000)+Volatilities_Resets!$I52)),IF(BN63&gt;=BP$2,IF(BN63&lt;BQ$2,(((Volatilities_Resets!$I52-Volatilities_Resets!$G52)/50)*((Calculator!BN63-Calculator!BP$2)*10000)+Volatilities_Resets!$G52)),"Well, something broke...")))))))))))/10000</f>
        <v>1.4494E-2</v>
      </c>
      <c r="BQ63" s="63">
        <f t="shared" ca="1" si="35"/>
        <v>7439.0899060471684</v>
      </c>
      <c r="BR63" s="63">
        <f t="shared" ca="1" si="36"/>
        <v>3.022200982218707E-4</v>
      </c>
      <c r="BS63" s="63">
        <f t="shared" ca="1" si="47"/>
        <v>373196.2099793813</v>
      </c>
      <c r="BV63" s="63">
        <f t="shared" ca="1" si="37"/>
        <v>101.41209604165479</v>
      </c>
      <c r="BW63" s="63">
        <f ca="1">SUM($BV$15:BV63)</f>
        <v>3801.514045994857</v>
      </c>
      <c r="BY63" s="52">
        <f ca="1">EXP(-AVERAGE(BO$15:BO63)*BL63)</f>
        <v>0.87114401735531111</v>
      </c>
      <c r="CA63" s="52">
        <f t="shared" ca="1" si="38"/>
        <v>49</v>
      </c>
      <c r="CB63" s="71">
        <f t="shared" ca="1" si="39"/>
        <v>46469</v>
      </c>
      <c r="CC63" s="71">
        <f t="shared" ca="1" si="12"/>
        <v>46500</v>
      </c>
      <c r="CD63" s="72">
        <f t="shared" ca="1" si="13"/>
        <v>31</v>
      </c>
      <c r="CE63" s="73">
        <f ca="1">SUM(CD$15:CD63)/360</f>
        <v>4.1444444444444448</v>
      </c>
      <c r="CF63" s="74">
        <f t="shared" si="14"/>
        <v>25000000</v>
      </c>
      <c r="CG63" s="59">
        <f t="shared" si="40"/>
        <v>0.06</v>
      </c>
      <c r="CH63" s="57">
        <f>Volatilities_Resets!$E52*0.01</f>
        <v>2.8291300000000002E-2</v>
      </c>
      <c r="CI63" s="61">
        <f>IF(CG63=CJ$11,Volatilities_Resets!$AA52,IF(CG63&gt;=CI$11,IF(CG63&lt;CJ$11,(((Volatilities_Resets!$AA52-Volatilities_Resets!$Y52)/50)*((Calculator!CG63-Calculator!CI$11)*10000)+Volatilities_Resets!$Y52)),IF(CG63&gt;=CI$10,IF(CG63&lt;CJ$10,(((Volatilities_Resets!$Y52-Volatilities_Resets!$W52)/50)*((Calculator!CG63-Calculator!CI$10)*10000)+Volatilities_Resets!$W52)),IF(CG63&gt;=CI$9,IF(CG63&lt;CJ$9,(((Volatilities_Resets!$W52-Volatilities_Resets!$U52)/50)*((Calculator!CG63-Calculator!CI$9)*10000)+Volatilities_Resets!$U52)),IF(CG63&gt;=CI$8,IF(CG63&lt;CJ$8,(((Volatilities_Resets!$U52-Volatilities_Resets!$S52)/50)*((Calculator!CG63-Calculator!CI$8)*10000)+Volatilities_Resets!$S52)),IF(CG63&gt;=CI$7,IF(CG63&lt;CJ$7,(((Volatilities_Resets!$S52-Volatilities_Resets!$Q52)/50)*((Calculator!CG63-Calculator!CI$7)*10000)+Volatilities_Resets!$Q52)),IF(CG63&gt;=CI$6,IF(CG63&lt;CJ$6,(((Volatilities_Resets!$Q52-Volatilities_Resets!$O52)/50)*((Calculator!CG63-Calculator!CI$6)*10000)+Volatilities_Resets!$O52)),IF(CG63&gt;=CI$5,IF(CG63&lt;CJ$5,(((Volatilities_Resets!$O52-Volatilities_Resets!$M52)/50)*((Calculator!CG63-Calculator!CI$5)*10000)+Volatilities_Resets!$M52)),IF(CG63&gt;=CI$4,IF(CG63&lt;CJ$4,(((Volatilities_Resets!$M52-Volatilities_Resets!$K52)/50)*((Calculator!CG63-Calculator!CI$4)*10000)+Volatilities_Resets!$K52)),IF(CG63&gt;=CI$3,IF(CG63&lt;CJ$3,(((Volatilities_Resets!$K52-Volatilities_Resets!$I52)/50)*((Calculator!CG63-Calculator!CI$3)*10000)+Volatilities_Resets!$I52)),IF(CG63&gt;=CI$2,IF(CG63&lt;CJ$2,(((Volatilities_Resets!$I52-Volatilities_Resets!$G52)/50)*((Calculator!CG63-Calculator!CI$2)*10000)+Volatilities_Resets!$G52)),"Well, something broke...")))))))))))/10000</f>
        <v>1.5875999999999998E-2</v>
      </c>
      <c r="CJ63" s="63">
        <f t="shared" ca="1" si="41"/>
        <v>5234.5645150168066</v>
      </c>
      <c r="CK63" s="63">
        <f t="shared" ca="1" si="42"/>
        <v>2.1315911460966126E-4</v>
      </c>
      <c r="CL63" s="63">
        <f t="shared" ca="1" si="48"/>
        <v>203517.38609055788</v>
      </c>
      <c r="CO63" s="63">
        <f t="shared" ca="1" si="43"/>
        <v>82.247625206741006</v>
      </c>
      <c r="CP63" s="63">
        <f ca="1">SUM($CO$15:CO63)</f>
        <v>2846.9023160526094</v>
      </c>
      <c r="CR63" s="52">
        <f ca="1">EXP(-AVERAGE(CH$15:CH63)*CE63)</f>
        <v>0.87114401735531111</v>
      </c>
      <c r="CT63"/>
      <c r="CU63"/>
      <c r="CV63"/>
      <c r="CW63"/>
      <c r="CX63"/>
      <c r="CY63"/>
      <c r="CZ63"/>
      <c r="DA63"/>
      <c r="DB63"/>
      <c r="DC63"/>
      <c r="DD63"/>
      <c r="DE63"/>
      <c r="DF63"/>
      <c r="DG63"/>
      <c r="DH63"/>
      <c r="DI63"/>
      <c r="DJ63"/>
      <c r="DK63"/>
      <c r="DL63"/>
    </row>
    <row r="64" spans="2:116" ht="15.75" customHeight="1">
      <c r="B64" s="52">
        <v>5</v>
      </c>
      <c r="C64" s="52">
        <f t="shared" ca="1" si="49"/>
        <v>50</v>
      </c>
      <c r="D64" s="71">
        <f t="shared" ca="1" si="16"/>
        <v>46500</v>
      </c>
      <c r="E64" s="71">
        <f t="shared" ca="1" si="50"/>
        <v>46530</v>
      </c>
      <c r="F64" s="72">
        <f t="shared" ca="1" si="51"/>
        <v>30</v>
      </c>
      <c r="G64" s="73">
        <f ca="1">SUM($F$15:F64)/360</f>
        <v>4.2277777777777779</v>
      </c>
      <c r="H64" s="74">
        <f t="shared" si="2"/>
        <v>25000000</v>
      </c>
      <c r="I64" s="59">
        <f>IF('Cap Pricer'!$E$22=DataValidation!$C$2,'Cap Pricer'!$E$23,IF('Cap Pricer'!$E$22=DataValidation!$C$3,VLOOKUP($B64,'Cap Pricer'!$C$25:$E$31,3),""))</f>
        <v>0.02</v>
      </c>
      <c r="J64" s="57">
        <f>Volatilities_Resets!$E53*0.01</f>
        <v>2.83109E-2</v>
      </c>
      <c r="K64" s="61">
        <f>IF(I64=L$11,Volatilities_Resets!$AA53,IF(I64&gt;=K$11,IF(I64&lt;L$11,(((Volatilities_Resets!$AA53-Volatilities_Resets!$Y53)/50)*((Calculator!I64-Calculator!K$11)*10000)+Volatilities_Resets!$Y53)),IF(I64&gt;=K$10,IF(I64&lt;L$10,(((Volatilities_Resets!$Y53-Volatilities_Resets!$W53)/50)*((Calculator!I64-Calculator!K$10)*10000)+Volatilities_Resets!$W53)),IF(I64&gt;=K$9,IF(I64&lt;L$9,(((Volatilities_Resets!$W53-Volatilities_Resets!$U53)/50)*((Calculator!I64-Calculator!K$9)*10000)+Volatilities_Resets!$U53)),IF(I64&gt;=K$8,IF(I64&lt;L$8,(((Volatilities_Resets!$U53-Volatilities_Resets!$S53)/50)*((Calculator!I64-Calculator!K$8)*10000)+Volatilities_Resets!$S53)),IF(I64&gt;=K$7,IF(I64&lt;L$7,(((Volatilities_Resets!$S53-Volatilities_Resets!$Q53)/50)*((Calculator!I64-Calculator!K$7)*10000)+Volatilities_Resets!$Q53)),IF(I64&gt;=K$6,IF(I64&lt;L$6,(((Volatilities_Resets!$Q53-Volatilities_Resets!$O53)/50)*((Calculator!I64-Calculator!K$6)*10000)+Volatilities_Resets!$O53)),IF(I64&gt;=K$5,IF(I64&lt;L$5,(((Volatilities_Resets!$O53-Volatilities_Resets!$M53)/50)*((Calculator!I64-Calculator!K$5)*10000)+Volatilities_Resets!$M53)),IF(I64&gt;=K$4,IF(I64&lt;L$4,(((Volatilities_Resets!$M53-Volatilities_Resets!$K53)/50)*((Calculator!I64-Calculator!K$4)*10000)+Volatilities_Resets!$K53)),IF(I64&gt;=K$3,IF(I64&lt;L$3,(((Volatilities_Resets!$K53-Volatilities_Resets!$I53)/50)*((Calculator!I64-Calculator!K$3)*10000)+Volatilities_Resets!$I53)),IF(I64&gt;=K$2,IF(I64&lt;L$2,(((Volatilities_Resets!$I53-Volatilities_Resets!$G53)/50)*((Calculator!I64-Calculator!K$2)*10000)+Volatilities_Resets!$G53)),"Well, something broke...")))))))))))/10000</f>
        <v>1.2354E-2</v>
      </c>
      <c r="L64" s="47">
        <f t="shared" ca="1" si="17"/>
        <v>26845.823427166375</v>
      </c>
      <c r="M64" s="63">
        <f t="shared" ca="1" si="18"/>
        <v>1.0794666523353468E-3</v>
      </c>
      <c r="N64" s="63">
        <f t="shared" ca="1" si="44"/>
        <v>1815450.6908467261</v>
      </c>
      <c r="Q64" s="63">
        <f t="shared" ca="1" si="19"/>
        <v>122.40605289640274</v>
      </c>
      <c r="R64" s="63">
        <f ca="1">SUM($Q$15:Q64)</f>
        <v>4288.8010676574004</v>
      </c>
      <c r="T64" s="52">
        <f ca="1">EXP(-AVERAGE(J$15:J64)*G64)</f>
        <v>0.86909648424156494</v>
      </c>
      <c r="U64" s="57"/>
      <c r="V64" s="52">
        <f t="shared" ca="1" si="20"/>
        <v>50</v>
      </c>
      <c r="W64" s="71">
        <f t="shared" ca="1" si="21"/>
        <v>46500</v>
      </c>
      <c r="X64" s="71">
        <f t="shared" ca="1" si="3"/>
        <v>46530</v>
      </c>
      <c r="Y64" s="72">
        <f t="shared" ca="1" si="4"/>
        <v>30</v>
      </c>
      <c r="Z64" s="73">
        <f ca="1">SUM(Y$15:Y64)/360</f>
        <v>4.2277777777777779</v>
      </c>
      <c r="AA64" s="74">
        <f t="shared" si="22"/>
        <v>25000000</v>
      </c>
      <c r="AB64" s="59">
        <f t="shared" si="23"/>
        <v>0.03</v>
      </c>
      <c r="AC64" s="57">
        <f>Volatilities_Resets!$E53*0.01</f>
        <v>2.83109E-2</v>
      </c>
      <c r="AD64" s="61">
        <f>IF(AB64=AE$11,Volatilities_Resets!$AA53,IF(AB64&gt;=AD$11,IF(AB64&lt;AE$11,(((Volatilities_Resets!$AA53-Volatilities_Resets!$Y53)/50)*((Calculator!AB64-Calculator!AD$11)*10000)+Volatilities_Resets!$Y53)),IF(AB64&gt;=AD$10,IF(AB64&lt;AE$10,(((Volatilities_Resets!$Y53-Volatilities_Resets!$W53)/50)*((Calculator!AB64-Calculator!AD$10)*10000)+Volatilities_Resets!$W53)),IF(AB64&gt;=AD$9,IF(AB64&lt;AE$9,(((Volatilities_Resets!$W53-Volatilities_Resets!$U53)/50)*((Calculator!AB64-Calculator!AD$9)*10000)+Volatilities_Resets!$U53)),IF(AB64&gt;=AD$8,IF(AB64&lt;AE$8,(((Volatilities_Resets!$U53-Volatilities_Resets!$S53)/50)*((Calculator!AB64-Calculator!AD$8)*10000)+Volatilities_Resets!$S53)),IF(AB64&gt;=AD$7,IF(AB64&lt;AE$7,(((Volatilities_Resets!$S53-Volatilities_Resets!$Q53)/50)*((Calculator!AB64-Calculator!AD$7)*10000)+Volatilities_Resets!$Q53)),IF(AB64&gt;=AD$6,IF(AB64&lt;AE$6,(((Volatilities_Resets!$Q53-Volatilities_Resets!$O53)/50)*((Calculator!AB64-Calculator!AD$6)*10000)+Volatilities_Resets!$O53)),IF(AB64&gt;=AD$5,IF(AB64&lt;AE$5,(((Volatilities_Resets!$O53-Volatilities_Resets!$M53)/50)*((Calculator!AB64-Calculator!AD$5)*10000)+Volatilities_Resets!$M53)),IF(AB64&gt;=AD$4,IF(AB64&lt;AE$4,(((Volatilities_Resets!$M53-Volatilities_Resets!$K53)/50)*((Calculator!AB64-Calculator!AD$4)*10000)+Volatilities_Resets!$K53)),IF(AB64&gt;=AD$3,IF(AB64&lt;AE$3,(((Volatilities_Resets!$K53-Volatilities_Resets!$I53)/50)*((Calculator!AB64-Calculator!AD$3)*10000)+Volatilities_Resets!$I53)),IF(AB64&gt;=AD$2,IF(AB64&lt;AE$2,(((Volatilities_Resets!$I53-Volatilities_Resets!$G53)/50)*((Calculator!AB64-Calculator!AD$2)*10000)+Volatilities_Resets!$G53)),"Well, something broke...")))))))))))/10000</f>
        <v>1.2579E-2</v>
      </c>
      <c r="AE64" s="63">
        <f t="shared" ca="1" si="24"/>
        <v>17193.341410459678</v>
      </c>
      <c r="AF64" s="63">
        <f t="shared" ca="1" si="25"/>
        <v>6.9366200984861373E-4</v>
      </c>
      <c r="AG64" s="63">
        <f t="shared" ca="1" si="45"/>
        <v>1198840.9298860731</v>
      </c>
      <c r="AJ64" s="63">
        <f t="shared" ca="1" si="26"/>
        <v>128.80777808878372</v>
      </c>
      <c r="AK64" s="63">
        <f ca="1">SUM($AJ$15:AJ64)</f>
        <v>4691.4849806725233</v>
      </c>
      <c r="AM64" s="52">
        <f ca="1">EXP(-AVERAGE(AC$15:AC64)*Z64)</f>
        <v>0.86909648424156494</v>
      </c>
      <c r="AO64" s="52">
        <f t="shared" ca="1" si="27"/>
        <v>50</v>
      </c>
      <c r="AP64" s="71">
        <f t="shared" ca="1" si="28"/>
        <v>46500</v>
      </c>
      <c r="AQ64" s="71">
        <f t="shared" ca="1" si="5"/>
        <v>46530</v>
      </c>
      <c r="AR64" s="72">
        <f t="shared" ca="1" si="6"/>
        <v>30</v>
      </c>
      <c r="AS64" s="73">
        <f ca="1">SUM(AR$15:AR64)/360</f>
        <v>4.2277777777777779</v>
      </c>
      <c r="AT64" s="74">
        <f t="shared" si="7"/>
        <v>25000000</v>
      </c>
      <c r="AU64" s="59">
        <f t="shared" si="29"/>
        <v>0.04</v>
      </c>
      <c r="AV64" s="57">
        <f>Volatilities_Resets!$E53*0.01</f>
        <v>2.83109E-2</v>
      </c>
      <c r="AW64" s="61">
        <f>IF(AU64=AX$11,Volatilities_Resets!$AA53,IF(AU64&gt;=AW$11,IF(AU64&lt;AX$11,(((Volatilities_Resets!$AA53-Volatilities_Resets!$Y53)/50)*((Calculator!AU64-Calculator!AW$11)*10000)+Volatilities_Resets!$Y53)),IF(AU64&gt;=AW$10,IF(AU64&lt;AX$10,(((Volatilities_Resets!$Y53-Volatilities_Resets!$W53)/50)*((Calculator!AU64-Calculator!AW$10)*10000)+Volatilities_Resets!$W53)),IF(AU64&gt;=AW$9,IF(AU64&lt;AX$9,(((Volatilities_Resets!$W53-Volatilities_Resets!$U53)/50)*((Calculator!AU64-Calculator!AW$9)*10000)+Volatilities_Resets!$U53)),IF(AU64&gt;=AW$8,IF(AU64&lt;AX$8,(((Volatilities_Resets!$U53-Volatilities_Resets!$S53)/50)*((Calculator!AU64-Calculator!AW$8)*10000)+Volatilities_Resets!$S53)),IF(AU64&gt;=AW$7,IF(AU64&lt;AX$7,(((Volatilities_Resets!$S53-Volatilities_Resets!$Q53)/50)*((Calculator!AU64-Calculator!AW$7)*10000)+Volatilities_Resets!$Q53)),IF(AU64&gt;=AW$6,IF(AU64&lt;AX$6,(((Volatilities_Resets!$Q53-Volatilities_Resets!$O53)/50)*((Calculator!AU64-Calculator!AW$6)*10000)+Volatilities_Resets!$O53)),IF(AU64&gt;=AW$5,IF(AU64&lt;AX$5,(((Volatilities_Resets!$O53-Volatilities_Resets!$M53)/50)*((Calculator!AU64-Calculator!AW$5)*10000)+Volatilities_Resets!$M53)),IF(AU64&gt;=AW$4,IF(AU64&lt;AX$4,(((Volatilities_Resets!$M53-Volatilities_Resets!$K53)/50)*((Calculator!AU64-Calculator!AW$4)*10000)+Volatilities_Resets!$K53)),IF(AU64&gt;=AW$3,IF(AU64&lt;AX$3,(((Volatilities_Resets!$K53-Volatilities_Resets!$I53)/50)*((Calculator!AU64-Calculator!AW$3)*10000)+Volatilities_Resets!$I53)),IF(AU64&gt;=AW$2,IF(AU64&lt;AX$2,(((Volatilities_Resets!$I53-Volatilities_Resets!$G53)/50)*((Calculator!AU64-Calculator!AW$2)*10000)+Volatilities_Resets!$G53)),"Well, something broke...")))))))))))/10000</f>
        <v>1.3337E-2</v>
      </c>
      <c r="AX64" s="63">
        <f t="shared" ca="1" si="30"/>
        <v>10998.982619083386</v>
      </c>
      <c r="AY64" s="63">
        <f t="shared" ca="1" si="31"/>
        <v>4.453879669442187E-4</v>
      </c>
      <c r="AZ64" s="63">
        <f t="shared" ca="1" si="46"/>
        <v>720490.67835934041</v>
      </c>
      <c r="BC64" s="63">
        <f t="shared" ca="1" si="8"/>
        <v>117.95078038851916</v>
      </c>
      <c r="BD64" s="63">
        <f ca="1">SUM($BC$15:BC64)</f>
        <v>4541.2740511315224</v>
      </c>
      <c r="BF64" s="52">
        <f ca="1">EXP(-AVERAGE(AV$15:AV64)*AS64)</f>
        <v>0.86909648424156494</v>
      </c>
      <c r="BH64" s="52">
        <f t="shared" ca="1" si="32"/>
        <v>50</v>
      </c>
      <c r="BI64" s="71">
        <f t="shared" ca="1" si="33"/>
        <v>46500</v>
      </c>
      <c r="BJ64" s="71">
        <f t="shared" ca="1" si="9"/>
        <v>46530</v>
      </c>
      <c r="BK64" s="72">
        <f t="shared" ca="1" si="10"/>
        <v>30</v>
      </c>
      <c r="BL64" s="73">
        <f ca="1">SUM(BK$15:BK64)/360</f>
        <v>4.2277777777777779</v>
      </c>
      <c r="BM64" s="74">
        <f t="shared" si="11"/>
        <v>25000000</v>
      </c>
      <c r="BN64" s="59">
        <f t="shared" si="34"/>
        <v>0.05</v>
      </c>
      <c r="BO64" s="57">
        <f>Volatilities_Resets!$E53*0.01</f>
        <v>2.83109E-2</v>
      </c>
      <c r="BP64" s="61">
        <f>IF(BN64=BQ$11,Volatilities_Resets!$AA53,IF(BN64&gt;=BP$11,IF(BN64&lt;BQ$11,(((Volatilities_Resets!$AA53-Volatilities_Resets!$Y53)/50)*((Calculator!BN64-Calculator!BP$11)*10000)+Volatilities_Resets!$Y53)),IF(BN64&gt;=BP$10,IF(BN64&lt;BQ$10,(((Volatilities_Resets!$Y53-Volatilities_Resets!$W53)/50)*((Calculator!BN64-Calculator!BP$10)*10000)+Volatilities_Resets!$W53)),IF(BN64&gt;=BP$9,IF(BN64&lt;BQ$9,(((Volatilities_Resets!$W53-Volatilities_Resets!$U53)/50)*((Calculator!BN64-Calculator!BP$9)*10000)+Volatilities_Resets!$U53)),IF(BN64&gt;=BP$8,IF(BN64&lt;BQ$8,(((Volatilities_Resets!$U53-Volatilities_Resets!$S53)/50)*((Calculator!BN64-Calculator!BP$8)*10000)+Volatilities_Resets!$S53)),IF(BN64&gt;=BP$7,IF(BN64&lt;BQ$7,(((Volatilities_Resets!$S53-Volatilities_Resets!$Q53)/50)*((Calculator!BN64-Calculator!BP$7)*10000)+Volatilities_Resets!$Q53)),IF(BN64&gt;=BP$6,IF(BN64&lt;BQ$6,(((Volatilities_Resets!$Q53-Volatilities_Resets!$O53)/50)*((Calculator!BN64-Calculator!BP$6)*10000)+Volatilities_Resets!$O53)),IF(BN64&gt;=BP$5,IF(BN64&lt;BQ$5,(((Volatilities_Resets!$O53-Volatilities_Resets!$M53)/50)*((Calculator!BN64-Calculator!BP$5)*10000)+Volatilities_Resets!$M53)),IF(BN64&gt;=BP$4,IF(BN64&lt;BQ$4,(((Volatilities_Resets!$M53-Volatilities_Resets!$K53)/50)*((Calculator!BN64-Calculator!BP$4)*10000)+Volatilities_Resets!$K53)),IF(BN64&gt;=BP$3,IF(BN64&lt;BQ$3,(((Volatilities_Resets!$K53-Volatilities_Resets!$I53)/50)*((Calculator!BN64-Calculator!BP$3)*10000)+Volatilities_Resets!$I53)),IF(BN64&gt;=BP$2,IF(BN64&lt;BQ$2,(((Volatilities_Resets!$I53-Volatilities_Resets!$G53)/50)*((Calculator!BN64-Calculator!BP$2)*10000)+Volatilities_Resets!$G53)),"Well, something broke...")))))))))))/10000</f>
        <v>1.4494E-2</v>
      </c>
      <c r="BQ64" s="63">
        <f t="shared" ca="1" si="35"/>
        <v>7353.5718390228631</v>
      </c>
      <c r="BR64" s="63">
        <f t="shared" ca="1" si="36"/>
        <v>2.9870983917019826E-4</v>
      </c>
      <c r="BS64" s="63">
        <f t="shared" ca="1" si="47"/>
        <v>380549.78181840415</v>
      </c>
      <c r="BV64" s="63">
        <f t="shared" ca="1" si="37"/>
        <v>99.228343867015681</v>
      </c>
      <c r="BW64" s="63">
        <f ca="1">SUM($BV$15:BV64)</f>
        <v>3900.7423898618727</v>
      </c>
      <c r="BY64" s="52">
        <f ca="1">EXP(-AVERAGE(BO$15:BO64)*BL64)</f>
        <v>0.86909648424156494</v>
      </c>
      <c r="CA64" s="52">
        <f t="shared" ca="1" si="38"/>
        <v>50</v>
      </c>
      <c r="CB64" s="71">
        <f t="shared" ca="1" si="39"/>
        <v>46500</v>
      </c>
      <c r="CC64" s="71">
        <f t="shared" ca="1" si="12"/>
        <v>46530</v>
      </c>
      <c r="CD64" s="72">
        <f t="shared" ca="1" si="13"/>
        <v>30</v>
      </c>
      <c r="CE64" s="73">
        <f ca="1">SUM(CD$15:CD64)/360</f>
        <v>4.2277777777777779</v>
      </c>
      <c r="CF64" s="74">
        <f t="shared" si="14"/>
        <v>25000000</v>
      </c>
      <c r="CG64" s="59">
        <f t="shared" si="40"/>
        <v>0.06</v>
      </c>
      <c r="CH64" s="57">
        <f>Volatilities_Resets!$E53*0.01</f>
        <v>2.83109E-2</v>
      </c>
      <c r="CI64" s="61">
        <f>IF(CG64=CJ$11,Volatilities_Resets!$AA53,IF(CG64&gt;=CI$11,IF(CG64&lt;CJ$11,(((Volatilities_Resets!$AA53-Volatilities_Resets!$Y53)/50)*((Calculator!CG64-Calculator!CI$11)*10000)+Volatilities_Resets!$Y53)),IF(CG64&gt;=CI$10,IF(CG64&lt;CJ$10,(((Volatilities_Resets!$Y53-Volatilities_Resets!$W53)/50)*((Calculator!CG64-Calculator!CI$10)*10000)+Volatilities_Resets!$W53)),IF(CG64&gt;=CI$9,IF(CG64&lt;CJ$9,(((Volatilities_Resets!$W53-Volatilities_Resets!$U53)/50)*((Calculator!CG64-Calculator!CI$9)*10000)+Volatilities_Resets!$U53)),IF(CG64&gt;=CI$8,IF(CG64&lt;CJ$8,(((Volatilities_Resets!$U53-Volatilities_Resets!$S53)/50)*((Calculator!CG64-Calculator!CI$8)*10000)+Volatilities_Resets!$S53)),IF(CG64&gt;=CI$7,IF(CG64&lt;CJ$7,(((Volatilities_Resets!$S53-Volatilities_Resets!$Q53)/50)*((Calculator!CG64-Calculator!CI$7)*10000)+Volatilities_Resets!$Q53)),IF(CG64&gt;=CI$6,IF(CG64&lt;CJ$6,(((Volatilities_Resets!$Q53-Volatilities_Resets!$O53)/50)*((Calculator!CG64-Calculator!CI$6)*10000)+Volatilities_Resets!$O53)),IF(CG64&gt;=CI$5,IF(CG64&lt;CJ$5,(((Volatilities_Resets!$O53-Volatilities_Resets!$M53)/50)*((Calculator!CG64-Calculator!CI$5)*10000)+Volatilities_Resets!$M53)),IF(CG64&gt;=CI$4,IF(CG64&lt;CJ$4,(((Volatilities_Resets!$M53-Volatilities_Resets!$K53)/50)*((Calculator!CG64-Calculator!CI$4)*10000)+Volatilities_Resets!$K53)),IF(CG64&gt;=CI$3,IF(CG64&lt;CJ$3,(((Volatilities_Resets!$K53-Volatilities_Resets!$I53)/50)*((Calculator!CG64-Calculator!CI$3)*10000)+Volatilities_Resets!$I53)),IF(CG64&gt;=CI$2,IF(CG64&lt;CJ$2,(((Volatilities_Resets!$I53-Volatilities_Resets!$G53)/50)*((Calculator!CG64-Calculator!CI$2)*10000)+Volatilities_Resets!$G53)),"Well, something broke...")))))))))))/10000</f>
        <v>1.5875999999999998E-2</v>
      </c>
      <c r="CJ64" s="63">
        <f t="shared" ca="1" si="41"/>
        <v>5204.7045164674337</v>
      </c>
      <c r="CK64" s="63">
        <f t="shared" ca="1" si="42"/>
        <v>2.119078082602111E-4</v>
      </c>
      <c r="CL64" s="63">
        <f t="shared" ca="1" si="48"/>
        <v>208722.09060702531</v>
      </c>
      <c r="CO64" s="63">
        <f t="shared" ca="1" si="43"/>
        <v>80.817881779086832</v>
      </c>
      <c r="CP64" s="63">
        <f ca="1">SUM($CO$15:CO64)</f>
        <v>2927.7201978316962</v>
      </c>
      <c r="CR64" s="52">
        <f ca="1">EXP(-AVERAGE(CH$15:CH64)*CE64)</f>
        <v>0.86909648424156494</v>
      </c>
      <c r="CT64"/>
      <c r="CU64"/>
      <c r="CV64"/>
      <c r="CW64"/>
      <c r="CX64"/>
      <c r="CY64"/>
      <c r="CZ64"/>
      <c r="DA64"/>
      <c r="DB64"/>
      <c r="DC64"/>
      <c r="DD64"/>
      <c r="DE64"/>
      <c r="DF64"/>
      <c r="DG64"/>
      <c r="DH64"/>
      <c r="DI64"/>
      <c r="DJ64"/>
      <c r="DK64"/>
      <c r="DL64"/>
    </row>
    <row r="65" spans="2:116" ht="15.75" customHeight="1">
      <c r="B65" s="52">
        <v>5</v>
      </c>
      <c r="C65" s="52">
        <f t="shared" ca="1" si="49"/>
        <v>51</v>
      </c>
      <c r="D65" s="71">
        <f t="shared" ca="1" si="16"/>
        <v>46530</v>
      </c>
      <c r="E65" s="71">
        <f t="shared" ca="1" si="50"/>
        <v>46561</v>
      </c>
      <c r="F65" s="72">
        <f t="shared" ca="1" si="51"/>
        <v>31</v>
      </c>
      <c r="G65" s="73">
        <f ca="1">SUM($F$15:F65)/360</f>
        <v>4.3138888888888891</v>
      </c>
      <c r="H65" s="74">
        <f t="shared" si="2"/>
        <v>25000000</v>
      </c>
      <c r="I65" s="59">
        <f>IF('Cap Pricer'!$E$22=DataValidation!$C$2,'Cap Pricer'!$E$23,IF('Cap Pricer'!$E$22=DataValidation!$C$3,VLOOKUP($B65,'Cap Pricer'!$C$25:$E$31,3),""))</f>
        <v>0.02</v>
      </c>
      <c r="J65" s="57">
        <f>Volatilities_Resets!$E54*0.01</f>
        <v>2.8314200000000001E-2</v>
      </c>
      <c r="K65" s="61">
        <f>IF(I65=L$11,Volatilities_Resets!$AA54,IF(I65&gt;=K$11,IF(I65&lt;L$11,(((Volatilities_Resets!$AA54-Volatilities_Resets!$Y54)/50)*((Calculator!I65-Calculator!K$11)*10000)+Volatilities_Resets!$Y54)),IF(I65&gt;=K$10,IF(I65&lt;L$10,(((Volatilities_Resets!$Y54-Volatilities_Resets!$W54)/50)*((Calculator!I65-Calculator!K$10)*10000)+Volatilities_Resets!$W54)),IF(I65&gt;=K$9,IF(I65&lt;L$9,(((Volatilities_Resets!$W54-Volatilities_Resets!$U54)/50)*((Calculator!I65-Calculator!K$9)*10000)+Volatilities_Resets!$U54)),IF(I65&gt;=K$8,IF(I65&lt;L$8,(((Volatilities_Resets!$U54-Volatilities_Resets!$S54)/50)*((Calculator!I65-Calculator!K$8)*10000)+Volatilities_Resets!$S54)),IF(I65&gt;=K$7,IF(I65&lt;L$7,(((Volatilities_Resets!$S54-Volatilities_Resets!$Q54)/50)*((Calculator!I65-Calculator!K$7)*10000)+Volatilities_Resets!$Q54)),IF(I65&gt;=K$6,IF(I65&lt;L$6,(((Volatilities_Resets!$Q54-Volatilities_Resets!$O54)/50)*((Calculator!I65-Calculator!K$6)*10000)+Volatilities_Resets!$O54)),IF(I65&gt;=K$5,IF(I65&lt;L$5,(((Volatilities_Resets!$O54-Volatilities_Resets!$M54)/50)*((Calculator!I65-Calculator!K$5)*10000)+Volatilities_Resets!$M54)),IF(I65&gt;=K$4,IF(I65&lt;L$4,(((Volatilities_Resets!$M54-Volatilities_Resets!$K54)/50)*((Calculator!I65-Calculator!K$4)*10000)+Volatilities_Resets!$K54)),IF(I65&gt;=K$3,IF(I65&lt;L$3,(((Volatilities_Resets!$K54-Volatilities_Resets!$I54)/50)*((Calculator!I65-Calculator!K$3)*10000)+Volatilities_Resets!$I54)),IF(I65&gt;=K$2,IF(I65&lt;L$2,(((Volatilities_Resets!$I54-Volatilities_Resets!$G54)/50)*((Calculator!I65-Calculator!K$2)*10000)+Volatilities_Resets!$G54)),"Well, something broke...")))))))))))/10000</f>
        <v>1.2354E-2</v>
      </c>
      <c r="L65" s="47">
        <f t="shared" ca="1" si="17"/>
        <v>27858.542842881048</v>
      </c>
      <c r="M65" s="63">
        <f t="shared" ca="1" si="18"/>
        <v>1.1202138204844548E-3</v>
      </c>
      <c r="N65" s="63">
        <f t="shared" ca="1" si="44"/>
        <v>1843309.2336896071</v>
      </c>
      <c r="Q65" s="63">
        <f t="shared" ca="1" si="19"/>
        <v>127.27404186021772</v>
      </c>
      <c r="R65" s="63">
        <f ca="1">SUM($Q$15:Q65)</f>
        <v>4416.0751095176183</v>
      </c>
      <c r="T65" s="52">
        <f ca="1">EXP(-AVERAGE(J$15:J65)*G65)</f>
        <v>0.86697362198867067</v>
      </c>
      <c r="U65" s="57"/>
      <c r="V65" s="52">
        <f t="shared" ca="1" si="20"/>
        <v>51</v>
      </c>
      <c r="W65" s="71">
        <f t="shared" ca="1" si="21"/>
        <v>46530</v>
      </c>
      <c r="X65" s="71">
        <f t="shared" ca="1" si="3"/>
        <v>46561</v>
      </c>
      <c r="Y65" s="72">
        <f t="shared" ca="1" si="4"/>
        <v>31</v>
      </c>
      <c r="Z65" s="73">
        <f ca="1">SUM(Y$15:Y65)/360</f>
        <v>4.3138888888888891</v>
      </c>
      <c r="AA65" s="74">
        <f t="shared" si="22"/>
        <v>25000000</v>
      </c>
      <c r="AB65" s="59">
        <f t="shared" si="23"/>
        <v>0.03</v>
      </c>
      <c r="AC65" s="57">
        <f>Volatilities_Resets!$E54*0.01</f>
        <v>2.8314200000000001E-2</v>
      </c>
      <c r="AD65" s="61">
        <f>IF(AB65=AE$11,Volatilities_Resets!$AA54,IF(AB65&gt;=AD$11,IF(AB65&lt;AE$11,(((Volatilities_Resets!$AA54-Volatilities_Resets!$Y54)/50)*((Calculator!AB65-Calculator!AD$11)*10000)+Volatilities_Resets!$Y54)),IF(AB65&gt;=AD$10,IF(AB65&lt;AE$10,(((Volatilities_Resets!$Y54-Volatilities_Resets!$W54)/50)*((Calculator!AB65-Calculator!AD$10)*10000)+Volatilities_Resets!$W54)),IF(AB65&gt;=AD$9,IF(AB65&lt;AE$9,(((Volatilities_Resets!$W54-Volatilities_Resets!$U54)/50)*((Calculator!AB65-Calculator!AD$9)*10000)+Volatilities_Resets!$U54)),IF(AB65&gt;=AD$8,IF(AB65&lt;AE$8,(((Volatilities_Resets!$U54-Volatilities_Resets!$S54)/50)*((Calculator!AB65-Calculator!AD$8)*10000)+Volatilities_Resets!$S54)),IF(AB65&gt;=AD$7,IF(AB65&lt;AE$7,(((Volatilities_Resets!$S54-Volatilities_Resets!$Q54)/50)*((Calculator!AB65-Calculator!AD$7)*10000)+Volatilities_Resets!$Q54)),IF(AB65&gt;=AD$6,IF(AB65&lt;AE$6,(((Volatilities_Resets!$Q54-Volatilities_Resets!$O54)/50)*((Calculator!AB65-Calculator!AD$6)*10000)+Volatilities_Resets!$O54)),IF(AB65&gt;=AD$5,IF(AB65&lt;AE$5,(((Volatilities_Resets!$O54-Volatilities_Resets!$M54)/50)*((Calculator!AB65-Calculator!AD$5)*10000)+Volatilities_Resets!$M54)),IF(AB65&gt;=AD$4,IF(AB65&lt;AE$4,(((Volatilities_Resets!$M54-Volatilities_Resets!$K54)/50)*((Calculator!AB65-Calculator!AD$4)*10000)+Volatilities_Resets!$K54)),IF(AB65&gt;=AD$3,IF(AB65&lt;AE$3,(((Volatilities_Resets!$K54-Volatilities_Resets!$I54)/50)*((Calculator!AB65-Calculator!AD$3)*10000)+Volatilities_Resets!$I54)),IF(AB65&gt;=AD$2,IF(AB65&lt;AE$2,(((Volatilities_Resets!$I54-Volatilities_Resets!$G54)/50)*((Calculator!AB65-Calculator!AD$2)*10000)+Volatilities_Resets!$G54)),"Well, something broke...")))))))))))/10000</f>
        <v>1.2579E-2</v>
      </c>
      <c r="AE65" s="63">
        <f t="shared" ca="1" si="24"/>
        <v>17920.702790947969</v>
      </c>
      <c r="AF65" s="63">
        <f t="shared" ca="1" si="25"/>
        <v>7.2300134471304698E-4</v>
      </c>
      <c r="AG65" s="63">
        <f t="shared" ca="1" si="45"/>
        <v>1216761.632677021</v>
      </c>
      <c r="AJ65" s="63">
        <f t="shared" ca="1" si="26"/>
        <v>133.80075596310516</v>
      </c>
      <c r="AK65" s="63">
        <f ca="1">SUM($AJ$15:AJ65)</f>
        <v>4825.2857366356284</v>
      </c>
      <c r="AM65" s="52">
        <f ca="1">EXP(-AVERAGE(AC$15:AC65)*Z65)</f>
        <v>0.86697362198867067</v>
      </c>
      <c r="AO65" s="52">
        <f t="shared" ca="1" si="27"/>
        <v>51</v>
      </c>
      <c r="AP65" s="71">
        <f t="shared" ca="1" si="28"/>
        <v>46530</v>
      </c>
      <c r="AQ65" s="71">
        <f t="shared" ca="1" si="5"/>
        <v>46561</v>
      </c>
      <c r="AR65" s="72">
        <f t="shared" ca="1" si="6"/>
        <v>31</v>
      </c>
      <c r="AS65" s="73">
        <f ca="1">SUM(AR$15:AR65)/360</f>
        <v>4.3138888888888891</v>
      </c>
      <c r="AT65" s="74">
        <f t="shared" si="7"/>
        <v>25000000</v>
      </c>
      <c r="AU65" s="59">
        <f t="shared" si="29"/>
        <v>0.04</v>
      </c>
      <c r="AV65" s="57">
        <f>Volatilities_Resets!$E54*0.01</f>
        <v>2.8314200000000001E-2</v>
      </c>
      <c r="AW65" s="61">
        <f>IF(AU65=AX$11,Volatilities_Resets!$AA54,IF(AU65&gt;=AW$11,IF(AU65&lt;AX$11,(((Volatilities_Resets!$AA54-Volatilities_Resets!$Y54)/50)*((Calculator!AU65-Calculator!AW$11)*10000)+Volatilities_Resets!$Y54)),IF(AU65&gt;=AW$10,IF(AU65&lt;AX$10,(((Volatilities_Resets!$Y54-Volatilities_Resets!$W54)/50)*((Calculator!AU65-Calculator!AW$10)*10000)+Volatilities_Resets!$W54)),IF(AU65&gt;=AW$9,IF(AU65&lt;AX$9,(((Volatilities_Resets!$W54-Volatilities_Resets!$U54)/50)*((Calculator!AU65-Calculator!AW$9)*10000)+Volatilities_Resets!$U54)),IF(AU65&gt;=AW$8,IF(AU65&lt;AX$8,(((Volatilities_Resets!$U54-Volatilities_Resets!$S54)/50)*((Calculator!AU65-Calculator!AW$8)*10000)+Volatilities_Resets!$S54)),IF(AU65&gt;=AW$7,IF(AU65&lt;AX$7,(((Volatilities_Resets!$S54-Volatilities_Resets!$Q54)/50)*((Calculator!AU65-Calculator!AW$7)*10000)+Volatilities_Resets!$Q54)),IF(AU65&gt;=AW$6,IF(AU65&lt;AX$6,(((Volatilities_Resets!$Q54-Volatilities_Resets!$O54)/50)*((Calculator!AU65-Calculator!AW$6)*10000)+Volatilities_Resets!$O54)),IF(AU65&gt;=AW$5,IF(AU65&lt;AX$5,(((Volatilities_Resets!$O54-Volatilities_Resets!$M54)/50)*((Calculator!AU65-Calculator!AW$5)*10000)+Volatilities_Resets!$M54)),IF(AU65&gt;=AW$4,IF(AU65&lt;AX$4,(((Volatilities_Resets!$M54-Volatilities_Resets!$K54)/50)*((Calculator!AU65-Calculator!AW$4)*10000)+Volatilities_Resets!$K54)),IF(AU65&gt;=AW$3,IF(AU65&lt;AX$3,(((Volatilities_Resets!$K54-Volatilities_Resets!$I54)/50)*((Calculator!AU65-Calculator!AW$3)*10000)+Volatilities_Resets!$I54)),IF(AU65&gt;=AW$2,IF(AU65&lt;AX$2,(((Volatilities_Resets!$I54-Volatilities_Resets!$G54)/50)*((Calculator!AU65-Calculator!AW$2)*10000)+Volatilities_Resets!$G54)),"Well, something broke...")))))))))))/10000</f>
        <v>1.3337E-2</v>
      </c>
      <c r="AX65" s="63">
        <f t="shared" ca="1" si="30"/>
        <v>11529.027425246197</v>
      </c>
      <c r="AY65" s="63">
        <f t="shared" ca="1" si="31"/>
        <v>4.6682417969855667E-4</v>
      </c>
      <c r="AZ65" s="63">
        <f t="shared" ca="1" si="46"/>
        <v>732019.70578458661</v>
      </c>
      <c r="BC65" s="63">
        <f t="shared" ca="1" si="8"/>
        <v>122.74358275627993</v>
      </c>
      <c r="BD65" s="63">
        <f ca="1">SUM($BC$15:BC65)</f>
        <v>4664.0176338878027</v>
      </c>
      <c r="BF65" s="52">
        <f ca="1">EXP(-AVERAGE(AV$15:AV65)*AS65)</f>
        <v>0.86697362198867067</v>
      </c>
      <c r="BH65" s="52">
        <f t="shared" ca="1" si="32"/>
        <v>51</v>
      </c>
      <c r="BI65" s="71">
        <f t="shared" ca="1" si="33"/>
        <v>46530</v>
      </c>
      <c r="BJ65" s="71">
        <f t="shared" ca="1" si="9"/>
        <v>46561</v>
      </c>
      <c r="BK65" s="72">
        <f t="shared" ca="1" si="10"/>
        <v>31</v>
      </c>
      <c r="BL65" s="73">
        <f ca="1">SUM(BK$15:BK65)/360</f>
        <v>4.3138888888888891</v>
      </c>
      <c r="BM65" s="74">
        <f t="shared" si="11"/>
        <v>25000000</v>
      </c>
      <c r="BN65" s="59">
        <f t="shared" si="34"/>
        <v>0.05</v>
      </c>
      <c r="BO65" s="57">
        <f>Volatilities_Resets!$E54*0.01</f>
        <v>2.8314200000000001E-2</v>
      </c>
      <c r="BP65" s="61">
        <f>IF(BN65=BQ$11,Volatilities_Resets!$AA54,IF(BN65&gt;=BP$11,IF(BN65&lt;BQ$11,(((Volatilities_Resets!$AA54-Volatilities_Resets!$Y54)/50)*((Calculator!BN65-Calculator!BP$11)*10000)+Volatilities_Resets!$Y54)),IF(BN65&gt;=BP$10,IF(BN65&lt;BQ$10,(((Volatilities_Resets!$Y54-Volatilities_Resets!$W54)/50)*((Calculator!BN65-Calculator!BP$10)*10000)+Volatilities_Resets!$W54)),IF(BN65&gt;=BP$9,IF(BN65&lt;BQ$9,(((Volatilities_Resets!$W54-Volatilities_Resets!$U54)/50)*((Calculator!BN65-Calculator!BP$9)*10000)+Volatilities_Resets!$U54)),IF(BN65&gt;=BP$8,IF(BN65&lt;BQ$8,(((Volatilities_Resets!$U54-Volatilities_Resets!$S54)/50)*((Calculator!BN65-Calculator!BP$8)*10000)+Volatilities_Resets!$S54)),IF(BN65&gt;=BP$7,IF(BN65&lt;BQ$7,(((Volatilities_Resets!$S54-Volatilities_Resets!$Q54)/50)*((Calculator!BN65-Calculator!BP$7)*10000)+Volatilities_Resets!$Q54)),IF(BN65&gt;=BP$6,IF(BN65&lt;BQ$6,(((Volatilities_Resets!$Q54-Volatilities_Resets!$O54)/50)*((Calculator!BN65-Calculator!BP$6)*10000)+Volatilities_Resets!$O54)),IF(BN65&gt;=BP$5,IF(BN65&lt;BQ$5,(((Volatilities_Resets!$O54-Volatilities_Resets!$M54)/50)*((Calculator!BN65-Calculator!BP$5)*10000)+Volatilities_Resets!$M54)),IF(BN65&gt;=BP$4,IF(BN65&lt;BQ$4,(((Volatilities_Resets!$M54-Volatilities_Resets!$K54)/50)*((Calculator!BN65-Calculator!BP$4)*10000)+Volatilities_Resets!$K54)),IF(BN65&gt;=BP$3,IF(BN65&lt;BQ$3,(((Volatilities_Resets!$K54-Volatilities_Resets!$I54)/50)*((Calculator!BN65-Calculator!BP$3)*10000)+Volatilities_Resets!$I54)),IF(BN65&gt;=BP$2,IF(BN65&lt;BQ$2,(((Volatilities_Resets!$I54-Volatilities_Resets!$G54)/50)*((Calculator!BN65-Calculator!BP$2)*10000)+Volatilities_Resets!$G54)),"Well, something broke...")))))))))))/10000</f>
        <v>1.4494999999999999E-2</v>
      </c>
      <c r="BQ65" s="63">
        <f t="shared" ca="1" si="35"/>
        <v>7755.7652779934342</v>
      </c>
      <c r="BR65" s="63">
        <f t="shared" ca="1" si="36"/>
        <v>3.1501155899031733E-4</v>
      </c>
      <c r="BS65" s="63">
        <f t="shared" ca="1" si="47"/>
        <v>388305.54709639761</v>
      </c>
      <c r="BV65" s="63">
        <f t="shared" ca="1" si="37"/>
        <v>103.62389229739306</v>
      </c>
      <c r="BW65" s="63">
        <f ca="1">SUM($BV$15:BV65)</f>
        <v>4004.3662821592657</v>
      </c>
      <c r="BY65" s="52">
        <f ca="1">EXP(-AVERAGE(BO$15:BO65)*BL65)</f>
        <v>0.86697362198867067</v>
      </c>
      <c r="CA65" s="52">
        <f t="shared" ca="1" si="38"/>
        <v>51</v>
      </c>
      <c r="CB65" s="71">
        <f t="shared" ca="1" si="39"/>
        <v>46530</v>
      </c>
      <c r="CC65" s="71">
        <f t="shared" ca="1" si="12"/>
        <v>46561</v>
      </c>
      <c r="CD65" s="72">
        <f t="shared" ca="1" si="13"/>
        <v>31</v>
      </c>
      <c r="CE65" s="73">
        <f ca="1">SUM(CD$15:CD65)/360</f>
        <v>4.3138888888888891</v>
      </c>
      <c r="CF65" s="74">
        <f t="shared" si="14"/>
        <v>25000000</v>
      </c>
      <c r="CG65" s="59">
        <f t="shared" si="40"/>
        <v>0.06</v>
      </c>
      <c r="CH65" s="57">
        <f>Volatilities_Resets!$E54*0.01</f>
        <v>2.8314200000000001E-2</v>
      </c>
      <c r="CI65" s="61">
        <f>IF(CG65=CJ$11,Volatilities_Resets!$AA54,IF(CG65&gt;=CI$11,IF(CG65&lt;CJ$11,(((Volatilities_Resets!$AA54-Volatilities_Resets!$Y54)/50)*((Calculator!CG65-Calculator!CI$11)*10000)+Volatilities_Resets!$Y54)),IF(CG65&gt;=CI$10,IF(CG65&lt;CJ$10,(((Volatilities_Resets!$Y54-Volatilities_Resets!$W54)/50)*((Calculator!CG65-Calculator!CI$10)*10000)+Volatilities_Resets!$W54)),IF(CG65&gt;=CI$9,IF(CG65&lt;CJ$9,(((Volatilities_Resets!$W54-Volatilities_Resets!$U54)/50)*((Calculator!CG65-Calculator!CI$9)*10000)+Volatilities_Resets!$U54)),IF(CG65&gt;=CI$8,IF(CG65&lt;CJ$8,(((Volatilities_Resets!$U54-Volatilities_Resets!$S54)/50)*((Calculator!CG65-Calculator!CI$8)*10000)+Volatilities_Resets!$S54)),IF(CG65&gt;=CI$7,IF(CG65&lt;CJ$7,(((Volatilities_Resets!$S54-Volatilities_Resets!$Q54)/50)*((Calculator!CG65-Calculator!CI$7)*10000)+Volatilities_Resets!$Q54)),IF(CG65&gt;=CI$6,IF(CG65&lt;CJ$6,(((Volatilities_Resets!$Q54-Volatilities_Resets!$O54)/50)*((Calculator!CG65-Calculator!CI$6)*10000)+Volatilities_Resets!$O54)),IF(CG65&gt;=CI$5,IF(CG65&lt;CJ$5,(((Volatilities_Resets!$O54-Volatilities_Resets!$M54)/50)*((Calculator!CG65-Calculator!CI$5)*10000)+Volatilities_Resets!$M54)),IF(CG65&gt;=CI$4,IF(CG65&lt;CJ$4,(((Volatilities_Resets!$M54-Volatilities_Resets!$K54)/50)*((Calculator!CG65-Calculator!CI$4)*10000)+Volatilities_Resets!$K54)),IF(CG65&gt;=CI$3,IF(CG65&lt;CJ$3,(((Volatilities_Resets!$K54-Volatilities_Resets!$I54)/50)*((Calculator!CG65-Calculator!CI$3)*10000)+Volatilities_Resets!$I54)),IF(CG65&gt;=CI$2,IF(CG65&lt;CJ$2,(((Volatilities_Resets!$I54-Volatilities_Resets!$G54)/50)*((Calculator!CG65-Calculator!CI$2)*10000)+Volatilities_Resets!$G54)),"Well, something broke...")))))))))))/10000</f>
        <v>1.5877000000000002E-2</v>
      </c>
      <c r="CJ65" s="63">
        <f t="shared" ca="1" si="41"/>
        <v>5521.5424823103504</v>
      </c>
      <c r="CK65" s="63">
        <f t="shared" ca="1" si="42"/>
        <v>2.2477174576100036E-4</v>
      </c>
      <c r="CL65" s="63">
        <f t="shared" ca="1" si="48"/>
        <v>214243.63308933566</v>
      </c>
      <c r="CO65" s="63">
        <f t="shared" ca="1" si="43"/>
        <v>84.74767872535773</v>
      </c>
      <c r="CP65" s="63">
        <f ca="1">SUM($CO$15:CO65)</f>
        <v>3012.4678765570538</v>
      </c>
      <c r="CR65" s="52">
        <f ca="1">EXP(-AVERAGE(CH$15:CH65)*CE65)</f>
        <v>0.86697362198867067</v>
      </c>
      <c r="CT65"/>
      <c r="CU65"/>
      <c r="CV65"/>
      <c r="CW65"/>
      <c r="CX65"/>
      <c r="CY65"/>
      <c r="CZ65"/>
      <c r="DA65"/>
      <c r="DB65"/>
      <c r="DC65"/>
      <c r="DD65"/>
      <c r="DE65"/>
      <c r="DF65"/>
      <c r="DG65"/>
      <c r="DH65"/>
      <c r="DI65"/>
      <c r="DJ65"/>
      <c r="DK65"/>
      <c r="DL65"/>
    </row>
    <row r="66" spans="2:116" ht="15.75" customHeight="1">
      <c r="B66" s="52">
        <v>5</v>
      </c>
      <c r="C66" s="52">
        <f t="shared" ca="1" si="49"/>
        <v>52</v>
      </c>
      <c r="D66" s="71">
        <f t="shared" ca="1" si="16"/>
        <v>46561</v>
      </c>
      <c r="E66" s="71">
        <f t="shared" ca="1" si="50"/>
        <v>46591</v>
      </c>
      <c r="F66" s="72">
        <f t="shared" ca="1" si="51"/>
        <v>30</v>
      </c>
      <c r="G66" s="73">
        <f ca="1">SUM($F$15:F66)/360</f>
        <v>4.3972222222222221</v>
      </c>
      <c r="H66" s="74">
        <f t="shared" si="2"/>
        <v>25000000</v>
      </c>
      <c r="I66" s="59">
        <f>IF('Cap Pricer'!$E$22=DataValidation!$C$2,'Cap Pricer'!$E$23,IF('Cap Pricer'!$E$22=DataValidation!$C$3,VLOOKUP($B66,'Cap Pricer'!$C$25:$E$31,3),""))</f>
        <v>0.02</v>
      </c>
      <c r="J66" s="57">
        <f>Volatilities_Resets!$E55*0.01</f>
        <v>2.8312E-2</v>
      </c>
      <c r="K66" s="61">
        <f>IF(I66=L$11,Volatilities_Resets!$AA55,IF(I66&gt;=K$11,IF(I66&lt;L$11,(((Volatilities_Resets!$AA55-Volatilities_Resets!$Y55)/50)*((Calculator!I66-Calculator!K$11)*10000)+Volatilities_Resets!$Y55)),IF(I66&gt;=K$10,IF(I66&lt;L$10,(((Volatilities_Resets!$Y55-Volatilities_Resets!$W55)/50)*((Calculator!I66-Calculator!K$10)*10000)+Volatilities_Resets!$W55)),IF(I66&gt;=K$9,IF(I66&lt;L$9,(((Volatilities_Resets!$W55-Volatilities_Resets!$U55)/50)*((Calculator!I66-Calculator!K$9)*10000)+Volatilities_Resets!$U55)),IF(I66&gt;=K$8,IF(I66&lt;L$8,(((Volatilities_Resets!$U55-Volatilities_Resets!$S55)/50)*((Calculator!I66-Calculator!K$8)*10000)+Volatilities_Resets!$S55)),IF(I66&gt;=K$7,IF(I66&lt;L$7,(((Volatilities_Resets!$S55-Volatilities_Resets!$Q55)/50)*((Calculator!I66-Calculator!K$7)*10000)+Volatilities_Resets!$Q55)),IF(I66&gt;=K$6,IF(I66&lt;L$6,(((Volatilities_Resets!$Q55-Volatilities_Resets!$O55)/50)*((Calculator!I66-Calculator!K$6)*10000)+Volatilities_Resets!$O55)),IF(I66&gt;=K$5,IF(I66&lt;L$5,(((Volatilities_Resets!$O55-Volatilities_Resets!$M55)/50)*((Calculator!I66-Calculator!K$5)*10000)+Volatilities_Resets!$M55)),IF(I66&gt;=K$4,IF(I66&lt;L$4,(((Volatilities_Resets!$M55-Volatilities_Resets!$K55)/50)*((Calculator!I66-Calculator!K$4)*10000)+Volatilities_Resets!$K55)),IF(I66&gt;=K$3,IF(I66&lt;L$3,(((Volatilities_Resets!$K55-Volatilities_Resets!$I55)/50)*((Calculator!I66-Calculator!K$3)*10000)+Volatilities_Resets!$I55)),IF(I66&gt;=K$2,IF(I66&lt;L$2,(((Volatilities_Resets!$I55-Volatilities_Resets!$G55)/50)*((Calculator!I66-Calculator!K$2)*10000)+Volatilities_Resets!$G55)),"Well, something broke...")))))))))))/10000</f>
        <v>1.2354E-2</v>
      </c>
      <c r="L66" s="47">
        <f t="shared" ca="1" si="17"/>
        <v>27062.350348431177</v>
      </c>
      <c r="M66" s="63">
        <f t="shared" ca="1" si="18"/>
        <v>1.0882236425934105E-3</v>
      </c>
      <c r="N66" s="63">
        <f t="shared" ca="1" si="44"/>
        <v>1870371.5840380383</v>
      </c>
      <c r="Q66" s="63">
        <f t="shared" ca="1" si="19"/>
        <v>123.89399940705535</v>
      </c>
      <c r="R66" s="63">
        <f ca="1">SUM($Q$15:Q66)</f>
        <v>4539.9691089246735</v>
      </c>
      <c r="T66" s="52">
        <f ca="1">EXP(-AVERAGE(J$15:J66)*G66)</f>
        <v>0.86493563085475089</v>
      </c>
      <c r="U66" s="57"/>
      <c r="V66" s="52">
        <f t="shared" ca="1" si="20"/>
        <v>52</v>
      </c>
      <c r="W66" s="71">
        <f t="shared" ca="1" si="21"/>
        <v>46561</v>
      </c>
      <c r="X66" s="71">
        <f t="shared" ca="1" si="3"/>
        <v>46591</v>
      </c>
      <c r="Y66" s="72">
        <f t="shared" ca="1" si="4"/>
        <v>30</v>
      </c>
      <c r="Z66" s="73">
        <f ca="1">SUM(Y$15:Y66)/360</f>
        <v>4.3972222222222221</v>
      </c>
      <c r="AA66" s="74">
        <f t="shared" si="22"/>
        <v>25000000</v>
      </c>
      <c r="AB66" s="59">
        <f t="shared" si="23"/>
        <v>0.03</v>
      </c>
      <c r="AC66" s="57">
        <f>Volatilities_Resets!$E55*0.01</f>
        <v>2.8312E-2</v>
      </c>
      <c r="AD66" s="61">
        <f>IF(AB66=AE$11,Volatilities_Resets!$AA55,IF(AB66&gt;=AD$11,IF(AB66&lt;AE$11,(((Volatilities_Resets!$AA55-Volatilities_Resets!$Y55)/50)*((Calculator!AB66-Calculator!AD$11)*10000)+Volatilities_Resets!$Y55)),IF(AB66&gt;=AD$10,IF(AB66&lt;AE$10,(((Volatilities_Resets!$Y55-Volatilities_Resets!$W55)/50)*((Calculator!AB66-Calculator!AD$10)*10000)+Volatilities_Resets!$W55)),IF(AB66&gt;=AD$9,IF(AB66&lt;AE$9,(((Volatilities_Resets!$W55-Volatilities_Resets!$U55)/50)*((Calculator!AB66-Calculator!AD$9)*10000)+Volatilities_Resets!$U55)),IF(AB66&gt;=AD$8,IF(AB66&lt;AE$8,(((Volatilities_Resets!$U55-Volatilities_Resets!$S55)/50)*((Calculator!AB66-Calculator!AD$8)*10000)+Volatilities_Resets!$S55)),IF(AB66&gt;=AD$7,IF(AB66&lt;AE$7,(((Volatilities_Resets!$S55-Volatilities_Resets!$Q55)/50)*((Calculator!AB66-Calculator!AD$7)*10000)+Volatilities_Resets!$Q55)),IF(AB66&gt;=AD$6,IF(AB66&lt;AE$6,(((Volatilities_Resets!$Q55-Volatilities_Resets!$O55)/50)*((Calculator!AB66-Calculator!AD$6)*10000)+Volatilities_Resets!$O55)),IF(AB66&gt;=AD$5,IF(AB66&lt;AE$5,(((Volatilities_Resets!$O55-Volatilities_Resets!$M55)/50)*((Calculator!AB66-Calculator!AD$5)*10000)+Volatilities_Resets!$M55)),IF(AB66&gt;=AD$4,IF(AB66&lt;AE$4,(((Volatilities_Resets!$M55-Volatilities_Resets!$K55)/50)*((Calculator!AB66-Calculator!AD$4)*10000)+Volatilities_Resets!$K55)),IF(AB66&gt;=AD$3,IF(AB66&lt;AE$3,(((Volatilities_Resets!$K55-Volatilities_Resets!$I55)/50)*((Calculator!AB66-Calculator!AD$3)*10000)+Volatilities_Resets!$I55)),IF(AB66&gt;=AD$2,IF(AB66&lt;AE$2,(((Volatilities_Resets!$I55-Volatilities_Resets!$G55)/50)*((Calculator!AB66-Calculator!AD$2)*10000)+Volatilities_Resets!$G55)),"Well, something broke...")))))))))))/10000</f>
        <v>1.2579E-2</v>
      </c>
      <c r="AE66" s="63">
        <f t="shared" ca="1" si="24"/>
        <v>17480.134306958527</v>
      </c>
      <c r="AF66" s="63">
        <f t="shared" ca="1" si="25"/>
        <v>7.0522292035967707E-4</v>
      </c>
      <c r="AG66" s="63">
        <f t="shared" ca="1" si="45"/>
        <v>1234241.7669839794</v>
      </c>
      <c r="AJ66" s="63">
        <f t="shared" ca="1" si="26"/>
        <v>130.11979364822739</v>
      </c>
      <c r="AK66" s="63">
        <f ca="1">SUM($AJ$15:AJ66)</f>
        <v>4955.405530283856</v>
      </c>
      <c r="AM66" s="52">
        <f ca="1">EXP(-AVERAGE(AC$15:AC66)*Z66)</f>
        <v>0.86493563085475089</v>
      </c>
      <c r="AO66" s="52">
        <f t="shared" ca="1" si="27"/>
        <v>52</v>
      </c>
      <c r="AP66" s="71">
        <f t="shared" ca="1" si="28"/>
        <v>46561</v>
      </c>
      <c r="AQ66" s="71">
        <f t="shared" ca="1" si="5"/>
        <v>46591</v>
      </c>
      <c r="AR66" s="72">
        <f t="shared" ca="1" si="6"/>
        <v>30</v>
      </c>
      <c r="AS66" s="73">
        <f ca="1">SUM(AR$15:AR66)/360</f>
        <v>4.3972222222222221</v>
      </c>
      <c r="AT66" s="74">
        <f t="shared" si="7"/>
        <v>25000000</v>
      </c>
      <c r="AU66" s="59">
        <f t="shared" si="29"/>
        <v>0.04</v>
      </c>
      <c r="AV66" s="57">
        <f>Volatilities_Resets!$E55*0.01</f>
        <v>2.8312E-2</v>
      </c>
      <c r="AW66" s="61">
        <f>IF(AU66=AX$11,Volatilities_Resets!$AA55,IF(AU66&gt;=AW$11,IF(AU66&lt;AX$11,(((Volatilities_Resets!$AA55-Volatilities_Resets!$Y55)/50)*((Calculator!AU66-Calculator!AW$11)*10000)+Volatilities_Resets!$Y55)),IF(AU66&gt;=AW$10,IF(AU66&lt;AX$10,(((Volatilities_Resets!$Y55-Volatilities_Resets!$W55)/50)*((Calculator!AU66-Calculator!AW$10)*10000)+Volatilities_Resets!$W55)),IF(AU66&gt;=AW$9,IF(AU66&lt;AX$9,(((Volatilities_Resets!$W55-Volatilities_Resets!$U55)/50)*((Calculator!AU66-Calculator!AW$9)*10000)+Volatilities_Resets!$U55)),IF(AU66&gt;=AW$8,IF(AU66&lt;AX$8,(((Volatilities_Resets!$U55-Volatilities_Resets!$S55)/50)*((Calculator!AU66-Calculator!AW$8)*10000)+Volatilities_Resets!$S55)),IF(AU66&gt;=AW$7,IF(AU66&lt;AX$7,(((Volatilities_Resets!$S55-Volatilities_Resets!$Q55)/50)*((Calculator!AU66-Calculator!AW$7)*10000)+Volatilities_Resets!$Q55)),IF(AU66&gt;=AW$6,IF(AU66&lt;AX$6,(((Volatilities_Resets!$Q55-Volatilities_Resets!$O55)/50)*((Calculator!AU66-Calculator!AW$6)*10000)+Volatilities_Resets!$O55)),IF(AU66&gt;=AW$5,IF(AU66&lt;AX$5,(((Volatilities_Resets!$O55-Volatilities_Resets!$M55)/50)*((Calculator!AU66-Calculator!AW$5)*10000)+Volatilities_Resets!$M55)),IF(AU66&gt;=AW$4,IF(AU66&lt;AX$4,(((Volatilities_Resets!$M55-Volatilities_Resets!$K55)/50)*((Calculator!AU66-Calculator!AW$4)*10000)+Volatilities_Resets!$K55)),IF(AU66&gt;=AW$3,IF(AU66&lt;AX$3,(((Volatilities_Resets!$K55-Volatilities_Resets!$I55)/50)*((Calculator!AU66-Calculator!AW$3)*10000)+Volatilities_Resets!$I55)),IF(AU66&gt;=AW$2,IF(AU66&lt;AX$2,(((Volatilities_Resets!$I55-Volatilities_Resets!$G55)/50)*((Calculator!AU66-Calculator!AW$2)*10000)+Volatilities_Resets!$G55)),"Well, something broke...")))))))))))/10000</f>
        <v>1.3337E-2</v>
      </c>
      <c r="AX66" s="63">
        <f t="shared" ca="1" si="30"/>
        <v>11304.825818028454</v>
      </c>
      <c r="AY66" s="63">
        <f t="shared" ca="1" si="31"/>
        <v>4.5772217593316049E-4</v>
      </c>
      <c r="AZ66" s="63">
        <f t="shared" ca="1" si="46"/>
        <v>743324.53160261502</v>
      </c>
      <c r="BC66" s="63">
        <f t="shared" ca="1" si="8"/>
        <v>119.55882430441959</v>
      </c>
      <c r="BD66" s="63">
        <f ca="1">SUM($BC$15:BC66)</f>
        <v>4783.5764581922222</v>
      </c>
      <c r="BF66" s="52">
        <f ca="1">EXP(-AVERAGE(AV$15:AV66)*AS66)</f>
        <v>0.86493563085475089</v>
      </c>
      <c r="BH66" s="52">
        <f t="shared" ca="1" si="32"/>
        <v>52</v>
      </c>
      <c r="BI66" s="71">
        <f t="shared" ca="1" si="33"/>
        <v>46561</v>
      </c>
      <c r="BJ66" s="71">
        <f t="shared" ca="1" si="9"/>
        <v>46591</v>
      </c>
      <c r="BK66" s="72">
        <f t="shared" ca="1" si="10"/>
        <v>30</v>
      </c>
      <c r="BL66" s="73">
        <f ca="1">SUM(BK$15:BK66)/360</f>
        <v>4.3972222222222221</v>
      </c>
      <c r="BM66" s="74">
        <f t="shared" si="11"/>
        <v>25000000</v>
      </c>
      <c r="BN66" s="59">
        <f t="shared" si="34"/>
        <v>0.05</v>
      </c>
      <c r="BO66" s="57">
        <f>Volatilities_Resets!$E55*0.01</f>
        <v>2.8312E-2</v>
      </c>
      <c r="BP66" s="61">
        <f>IF(BN66=BQ$11,Volatilities_Resets!$AA55,IF(BN66&gt;=BP$11,IF(BN66&lt;BQ$11,(((Volatilities_Resets!$AA55-Volatilities_Resets!$Y55)/50)*((Calculator!BN66-Calculator!BP$11)*10000)+Volatilities_Resets!$Y55)),IF(BN66&gt;=BP$10,IF(BN66&lt;BQ$10,(((Volatilities_Resets!$Y55-Volatilities_Resets!$W55)/50)*((Calculator!BN66-Calculator!BP$10)*10000)+Volatilities_Resets!$W55)),IF(BN66&gt;=BP$9,IF(BN66&lt;BQ$9,(((Volatilities_Resets!$W55-Volatilities_Resets!$U55)/50)*((Calculator!BN66-Calculator!BP$9)*10000)+Volatilities_Resets!$U55)),IF(BN66&gt;=BP$8,IF(BN66&lt;BQ$8,(((Volatilities_Resets!$U55-Volatilities_Resets!$S55)/50)*((Calculator!BN66-Calculator!BP$8)*10000)+Volatilities_Resets!$S55)),IF(BN66&gt;=BP$7,IF(BN66&lt;BQ$7,(((Volatilities_Resets!$S55-Volatilities_Resets!$Q55)/50)*((Calculator!BN66-Calculator!BP$7)*10000)+Volatilities_Resets!$Q55)),IF(BN66&gt;=BP$6,IF(BN66&lt;BQ$6,(((Volatilities_Resets!$Q55-Volatilities_Resets!$O55)/50)*((Calculator!BN66-Calculator!BP$6)*10000)+Volatilities_Resets!$O55)),IF(BN66&gt;=BP$5,IF(BN66&lt;BQ$5,(((Volatilities_Resets!$O55-Volatilities_Resets!$M55)/50)*((Calculator!BN66-Calculator!BP$5)*10000)+Volatilities_Resets!$M55)),IF(BN66&gt;=BP$4,IF(BN66&lt;BQ$4,(((Volatilities_Resets!$M55-Volatilities_Resets!$K55)/50)*((Calculator!BN66-Calculator!BP$4)*10000)+Volatilities_Resets!$K55)),IF(BN66&gt;=BP$3,IF(BN66&lt;BQ$3,(((Volatilities_Resets!$K55-Volatilities_Resets!$I55)/50)*((Calculator!BN66-Calculator!BP$3)*10000)+Volatilities_Resets!$I55)),IF(BN66&gt;=BP$2,IF(BN66&lt;BQ$2,(((Volatilities_Resets!$I55-Volatilities_Resets!$G55)/50)*((Calculator!BN66-Calculator!BP$2)*10000)+Volatilities_Resets!$G55)),"Well, something broke...")))))))))))/10000</f>
        <v>1.4494999999999999E-2</v>
      </c>
      <c r="BQ66" s="63">
        <f t="shared" ca="1" si="35"/>
        <v>7647.8904472981922</v>
      </c>
      <c r="BR66" s="63">
        <f t="shared" ca="1" si="36"/>
        <v>3.1059840590812741E-4</v>
      </c>
      <c r="BS66" s="63">
        <f t="shared" ca="1" si="47"/>
        <v>395953.43754369579</v>
      </c>
      <c r="BV66" s="63">
        <f t="shared" ca="1" si="37"/>
        <v>101.25775517376896</v>
      </c>
      <c r="BW66" s="63">
        <f ca="1">SUM($BV$15:BV66)</f>
        <v>4105.6240373330347</v>
      </c>
      <c r="BY66" s="52">
        <f ca="1">EXP(-AVERAGE(BO$15:BO66)*BL66)</f>
        <v>0.86493563085475089</v>
      </c>
      <c r="CA66" s="52">
        <f t="shared" ca="1" si="38"/>
        <v>52</v>
      </c>
      <c r="CB66" s="71">
        <f t="shared" ca="1" si="39"/>
        <v>46561</v>
      </c>
      <c r="CC66" s="71">
        <f t="shared" ca="1" si="12"/>
        <v>46591</v>
      </c>
      <c r="CD66" s="72">
        <f t="shared" ca="1" si="13"/>
        <v>30</v>
      </c>
      <c r="CE66" s="73">
        <f ca="1">SUM(CD$15:CD66)/360</f>
        <v>4.3972222222222221</v>
      </c>
      <c r="CF66" s="74">
        <f t="shared" si="14"/>
        <v>25000000</v>
      </c>
      <c r="CG66" s="59">
        <f t="shared" si="40"/>
        <v>0.06</v>
      </c>
      <c r="CH66" s="57">
        <f>Volatilities_Resets!$E55*0.01</f>
        <v>2.8312E-2</v>
      </c>
      <c r="CI66" s="61">
        <f>IF(CG66=CJ$11,Volatilities_Resets!$AA55,IF(CG66&gt;=CI$11,IF(CG66&lt;CJ$11,(((Volatilities_Resets!$AA55-Volatilities_Resets!$Y55)/50)*((Calculator!CG66-Calculator!CI$11)*10000)+Volatilities_Resets!$Y55)),IF(CG66&gt;=CI$10,IF(CG66&lt;CJ$10,(((Volatilities_Resets!$Y55-Volatilities_Resets!$W55)/50)*((Calculator!CG66-Calculator!CI$10)*10000)+Volatilities_Resets!$W55)),IF(CG66&gt;=CI$9,IF(CG66&lt;CJ$9,(((Volatilities_Resets!$W55-Volatilities_Resets!$U55)/50)*((Calculator!CG66-Calculator!CI$9)*10000)+Volatilities_Resets!$U55)),IF(CG66&gt;=CI$8,IF(CG66&lt;CJ$8,(((Volatilities_Resets!$U55-Volatilities_Resets!$S55)/50)*((Calculator!CG66-Calculator!CI$8)*10000)+Volatilities_Resets!$S55)),IF(CG66&gt;=CI$7,IF(CG66&lt;CJ$7,(((Volatilities_Resets!$S55-Volatilities_Resets!$Q55)/50)*((Calculator!CG66-Calculator!CI$7)*10000)+Volatilities_Resets!$Q55)),IF(CG66&gt;=CI$6,IF(CG66&lt;CJ$6,(((Volatilities_Resets!$Q55-Volatilities_Resets!$O55)/50)*((Calculator!CG66-Calculator!CI$6)*10000)+Volatilities_Resets!$O55)),IF(CG66&gt;=CI$5,IF(CG66&lt;CJ$5,(((Volatilities_Resets!$O55-Volatilities_Resets!$M55)/50)*((Calculator!CG66-Calculator!CI$5)*10000)+Volatilities_Resets!$M55)),IF(CG66&gt;=CI$4,IF(CG66&lt;CJ$4,(((Volatilities_Resets!$M55-Volatilities_Resets!$K55)/50)*((Calculator!CG66-Calculator!CI$4)*10000)+Volatilities_Resets!$K55)),IF(CG66&gt;=CI$3,IF(CG66&lt;CJ$3,(((Volatilities_Resets!$K55-Volatilities_Resets!$I55)/50)*((Calculator!CG66-Calculator!CI$3)*10000)+Volatilities_Resets!$I55)),IF(CG66&gt;=CI$2,IF(CG66&lt;CJ$2,(((Volatilities_Resets!$I55-Volatilities_Resets!$G55)/50)*((Calculator!CG66-Calculator!CI$2)*10000)+Volatilities_Resets!$G55)),"Well, something broke...")))))))))))/10000</f>
        <v>1.5877000000000002E-2</v>
      </c>
      <c r="CJ66" s="63">
        <f t="shared" ca="1" si="41"/>
        <v>5474.4424894338545</v>
      </c>
      <c r="CK66" s="63">
        <f t="shared" ca="1" si="42"/>
        <v>2.2282204670475634E-4</v>
      </c>
      <c r="CL66" s="63">
        <f t="shared" ca="1" si="48"/>
        <v>219718.07557876952</v>
      </c>
      <c r="CO66" s="63">
        <f t="shared" ca="1" si="43"/>
        <v>83.127820196605754</v>
      </c>
      <c r="CP66" s="63">
        <f ca="1">SUM($CO$15:CO66)</f>
        <v>3095.5956967536595</v>
      </c>
      <c r="CR66" s="52">
        <f ca="1">EXP(-AVERAGE(CH$15:CH66)*CE66)</f>
        <v>0.86493563085475089</v>
      </c>
      <c r="CT66"/>
      <c r="CU66"/>
      <c r="CV66"/>
      <c r="CW66"/>
      <c r="CX66"/>
      <c r="CY66"/>
      <c r="CZ66"/>
      <c r="DA66"/>
      <c r="DB66"/>
      <c r="DC66"/>
      <c r="DD66"/>
      <c r="DE66"/>
      <c r="DF66"/>
      <c r="DG66"/>
      <c r="DH66"/>
      <c r="DI66"/>
      <c r="DJ66"/>
      <c r="DK66"/>
      <c r="DL66"/>
    </row>
    <row r="67" spans="2:116" ht="15.75" customHeight="1">
      <c r="B67" s="52">
        <v>5</v>
      </c>
      <c r="C67" s="52">
        <f t="shared" ca="1" si="49"/>
        <v>53</v>
      </c>
      <c r="D67" s="71">
        <f t="shared" ca="1" si="16"/>
        <v>46591</v>
      </c>
      <c r="E67" s="71">
        <f t="shared" ca="1" si="50"/>
        <v>46622</v>
      </c>
      <c r="F67" s="72">
        <f t="shared" ca="1" si="51"/>
        <v>31</v>
      </c>
      <c r="G67" s="73">
        <f ca="1">SUM($F$15:F67)/360</f>
        <v>4.4833333333333334</v>
      </c>
      <c r="H67" s="74">
        <f t="shared" si="2"/>
        <v>25000000</v>
      </c>
      <c r="I67" s="59">
        <f>IF('Cap Pricer'!$E$22=DataValidation!$C$2,'Cap Pricer'!$E$23,IF('Cap Pricer'!$E$22=DataValidation!$C$3,VLOOKUP($B67,'Cap Pricer'!$C$25:$E$31,3),""))</f>
        <v>0.02</v>
      </c>
      <c r="J67" s="57">
        <f>Volatilities_Resets!$E56*0.01</f>
        <v>2.8312E-2</v>
      </c>
      <c r="K67" s="61">
        <f>IF(I67=L$11,Volatilities_Resets!$AA56,IF(I67&gt;=K$11,IF(I67&lt;L$11,(((Volatilities_Resets!$AA56-Volatilities_Resets!$Y56)/50)*((Calculator!I67-Calculator!K$11)*10000)+Volatilities_Resets!$Y56)),IF(I67&gt;=K$10,IF(I67&lt;L$10,(((Volatilities_Resets!$Y56-Volatilities_Resets!$W56)/50)*((Calculator!I67-Calculator!K$10)*10000)+Volatilities_Resets!$W56)),IF(I67&gt;=K$9,IF(I67&lt;L$9,(((Volatilities_Resets!$W56-Volatilities_Resets!$U56)/50)*((Calculator!I67-Calculator!K$9)*10000)+Volatilities_Resets!$U56)),IF(I67&gt;=K$8,IF(I67&lt;L$8,(((Volatilities_Resets!$U56-Volatilities_Resets!$S56)/50)*((Calculator!I67-Calculator!K$8)*10000)+Volatilities_Resets!$S56)),IF(I67&gt;=K$7,IF(I67&lt;L$7,(((Volatilities_Resets!$S56-Volatilities_Resets!$Q56)/50)*((Calculator!I67-Calculator!K$7)*10000)+Volatilities_Resets!$Q56)),IF(I67&gt;=K$6,IF(I67&lt;L$6,(((Volatilities_Resets!$Q56-Volatilities_Resets!$O56)/50)*((Calculator!I67-Calculator!K$6)*10000)+Volatilities_Resets!$O56)),IF(I67&gt;=K$5,IF(I67&lt;L$5,(((Volatilities_Resets!$O56-Volatilities_Resets!$M56)/50)*((Calculator!I67-Calculator!K$5)*10000)+Volatilities_Resets!$M56)),IF(I67&gt;=K$4,IF(I67&lt;L$4,(((Volatilities_Resets!$M56-Volatilities_Resets!$K56)/50)*((Calculator!I67-Calculator!K$4)*10000)+Volatilities_Resets!$K56)),IF(I67&gt;=K$3,IF(I67&lt;L$3,(((Volatilities_Resets!$K56-Volatilities_Resets!$I56)/50)*((Calculator!I67-Calculator!K$3)*10000)+Volatilities_Resets!$I56)),IF(I67&gt;=K$2,IF(I67&lt;L$2,(((Volatilities_Resets!$I56-Volatilities_Resets!$G56)/50)*((Calculator!I67-Calculator!K$2)*10000)+Volatilities_Resets!$G56)),"Well, something broke...")))))))))))/10000</f>
        <v>1.2354E-2</v>
      </c>
      <c r="L67" s="47">
        <f t="shared" ca="1" si="17"/>
        <v>28073.894272871054</v>
      </c>
      <c r="M67" s="63">
        <f t="shared" ca="1" si="18"/>
        <v>1.128925329919202E-3</v>
      </c>
      <c r="N67" s="63">
        <f t="shared" ca="1" si="44"/>
        <v>1898445.4783109094</v>
      </c>
      <c r="Q67" s="63">
        <f t="shared" ca="1" si="19"/>
        <v>128.76687392680481</v>
      </c>
      <c r="R67" s="63">
        <f ca="1">SUM($Q$15:Q67)</f>
        <v>4668.7359828514782</v>
      </c>
      <c r="T67" s="52">
        <f ca="1">EXP(-AVERAGE(J$15:J67)*G67)</f>
        <v>0.86282335986801439</v>
      </c>
      <c r="U67" s="57"/>
      <c r="V67" s="52">
        <f t="shared" ca="1" si="20"/>
        <v>53</v>
      </c>
      <c r="W67" s="71">
        <f t="shared" ca="1" si="21"/>
        <v>46591</v>
      </c>
      <c r="X67" s="71">
        <f t="shared" ca="1" si="3"/>
        <v>46622</v>
      </c>
      <c r="Y67" s="72">
        <f t="shared" ca="1" si="4"/>
        <v>31</v>
      </c>
      <c r="Z67" s="73">
        <f ca="1">SUM(Y$15:Y67)/360</f>
        <v>4.4833333333333334</v>
      </c>
      <c r="AA67" s="74">
        <f t="shared" si="22"/>
        <v>25000000</v>
      </c>
      <c r="AB67" s="59">
        <f t="shared" si="23"/>
        <v>0.03</v>
      </c>
      <c r="AC67" s="57">
        <f>Volatilities_Resets!$E56*0.01</f>
        <v>2.8312E-2</v>
      </c>
      <c r="AD67" s="61">
        <f>IF(AB67=AE$11,Volatilities_Resets!$AA56,IF(AB67&gt;=AD$11,IF(AB67&lt;AE$11,(((Volatilities_Resets!$AA56-Volatilities_Resets!$Y56)/50)*((Calculator!AB67-Calculator!AD$11)*10000)+Volatilities_Resets!$Y56)),IF(AB67&gt;=AD$10,IF(AB67&lt;AE$10,(((Volatilities_Resets!$Y56-Volatilities_Resets!$W56)/50)*((Calculator!AB67-Calculator!AD$10)*10000)+Volatilities_Resets!$W56)),IF(AB67&gt;=AD$9,IF(AB67&lt;AE$9,(((Volatilities_Resets!$W56-Volatilities_Resets!$U56)/50)*((Calculator!AB67-Calculator!AD$9)*10000)+Volatilities_Resets!$U56)),IF(AB67&gt;=AD$8,IF(AB67&lt;AE$8,(((Volatilities_Resets!$U56-Volatilities_Resets!$S56)/50)*((Calculator!AB67-Calculator!AD$8)*10000)+Volatilities_Resets!$S56)),IF(AB67&gt;=AD$7,IF(AB67&lt;AE$7,(((Volatilities_Resets!$S56-Volatilities_Resets!$Q56)/50)*((Calculator!AB67-Calculator!AD$7)*10000)+Volatilities_Resets!$Q56)),IF(AB67&gt;=AD$6,IF(AB67&lt;AE$6,(((Volatilities_Resets!$Q56-Volatilities_Resets!$O56)/50)*((Calculator!AB67-Calculator!AD$6)*10000)+Volatilities_Resets!$O56)),IF(AB67&gt;=AD$5,IF(AB67&lt;AE$5,(((Volatilities_Resets!$O56-Volatilities_Resets!$M56)/50)*((Calculator!AB67-Calculator!AD$5)*10000)+Volatilities_Resets!$M56)),IF(AB67&gt;=AD$4,IF(AB67&lt;AE$4,(((Volatilities_Resets!$M56-Volatilities_Resets!$K56)/50)*((Calculator!AB67-Calculator!AD$4)*10000)+Volatilities_Resets!$K56)),IF(AB67&gt;=AD$3,IF(AB67&lt;AE$3,(((Volatilities_Resets!$K56-Volatilities_Resets!$I56)/50)*((Calculator!AB67-Calculator!AD$3)*10000)+Volatilities_Resets!$I56)),IF(AB67&gt;=AD$2,IF(AB67&lt;AE$2,(((Volatilities_Resets!$I56-Volatilities_Resets!$G56)/50)*((Calculator!AB67-Calculator!AD$2)*10000)+Volatilities_Resets!$G56)),"Well, something broke...")))))))))))/10000</f>
        <v>1.2579E-2</v>
      </c>
      <c r="AE67" s="63">
        <f t="shared" ca="1" si="24"/>
        <v>18208.769394305094</v>
      </c>
      <c r="AF67" s="63">
        <f t="shared" ca="1" si="25"/>
        <v>7.3461440969618851E-4</v>
      </c>
      <c r="AG67" s="63">
        <f t="shared" ca="1" si="45"/>
        <v>1252450.5363782845</v>
      </c>
      <c r="AJ67" s="63">
        <f t="shared" ca="1" si="26"/>
        <v>135.11024168189516</v>
      </c>
      <c r="AK67" s="63">
        <f ca="1">SUM($AJ$15:AJ67)</f>
        <v>5090.5157719657509</v>
      </c>
      <c r="AM67" s="52">
        <f ca="1">EXP(-AVERAGE(AC$15:AC67)*Z67)</f>
        <v>0.86282335986801439</v>
      </c>
      <c r="AO67" s="52">
        <f t="shared" ca="1" si="27"/>
        <v>53</v>
      </c>
      <c r="AP67" s="71">
        <f t="shared" ca="1" si="28"/>
        <v>46591</v>
      </c>
      <c r="AQ67" s="71">
        <f t="shared" ca="1" si="5"/>
        <v>46622</v>
      </c>
      <c r="AR67" s="72">
        <f t="shared" ca="1" si="6"/>
        <v>31</v>
      </c>
      <c r="AS67" s="73">
        <f ca="1">SUM(AR$15:AR67)/360</f>
        <v>4.4833333333333334</v>
      </c>
      <c r="AT67" s="74">
        <f t="shared" si="7"/>
        <v>25000000</v>
      </c>
      <c r="AU67" s="59">
        <f t="shared" si="29"/>
        <v>0.04</v>
      </c>
      <c r="AV67" s="57">
        <f>Volatilities_Resets!$E56*0.01</f>
        <v>2.8312E-2</v>
      </c>
      <c r="AW67" s="61">
        <f>IF(AU67=AX$11,Volatilities_Resets!$AA56,IF(AU67&gt;=AW$11,IF(AU67&lt;AX$11,(((Volatilities_Resets!$AA56-Volatilities_Resets!$Y56)/50)*((Calculator!AU67-Calculator!AW$11)*10000)+Volatilities_Resets!$Y56)),IF(AU67&gt;=AW$10,IF(AU67&lt;AX$10,(((Volatilities_Resets!$Y56-Volatilities_Resets!$W56)/50)*((Calculator!AU67-Calculator!AW$10)*10000)+Volatilities_Resets!$W56)),IF(AU67&gt;=AW$9,IF(AU67&lt;AX$9,(((Volatilities_Resets!$W56-Volatilities_Resets!$U56)/50)*((Calculator!AU67-Calculator!AW$9)*10000)+Volatilities_Resets!$U56)),IF(AU67&gt;=AW$8,IF(AU67&lt;AX$8,(((Volatilities_Resets!$U56-Volatilities_Resets!$S56)/50)*((Calculator!AU67-Calculator!AW$8)*10000)+Volatilities_Resets!$S56)),IF(AU67&gt;=AW$7,IF(AU67&lt;AX$7,(((Volatilities_Resets!$S56-Volatilities_Resets!$Q56)/50)*((Calculator!AU67-Calculator!AW$7)*10000)+Volatilities_Resets!$Q56)),IF(AU67&gt;=AW$6,IF(AU67&lt;AX$6,(((Volatilities_Resets!$Q56-Volatilities_Resets!$O56)/50)*((Calculator!AU67-Calculator!AW$6)*10000)+Volatilities_Resets!$O56)),IF(AU67&gt;=AW$5,IF(AU67&lt;AX$5,(((Volatilities_Resets!$O56-Volatilities_Resets!$M56)/50)*((Calculator!AU67-Calculator!AW$5)*10000)+Volatilities_Resets!$M56)),IF(AU67&gt;=AW$4,IF(AU67&lt;AX$4,(((Volatilities_Resets!$M56-Volatilities_Resets!$K56)/50)*((Calculator!AU67-Calculator!AW$4)*10000)+Volatilities_Resets!$K56)),IF(AU67&gt;=AW$3,IF(AU67&lt;AX$3,(((Volatilities_Resets!$K56-Volatilities_Resets!$I56)/50)*((Calculator!AU67-Calculator!AW$3)*10000)+Volatilities_Resets!$I56)),IF(AU67&gt;=AW$2,IF(AU67&lt;AX$2,(((Volatilities_Resets!$I56-Volatilities_Resets!$G56)/50)*((Calculator!AU67-Calculator!AW$2)*10000)+Volatilities_Resets!$G56)),"Well, something broke...")))))))))))/10000</f>
        <v>1.3337E-2</v>
      </c>
      <c r="AX67" s="63">
        <f t="shared" ca="1" si="30"/>
        <v>11838.332818391333</v>
      </c>
      <c r="AY67" s="63">
        <f t="shared" ca="1" si="31"/>
        <v>4.7929793317368687E-4</v>
      </c>
      <c r="AZ67" s="63">
        <f t="shared" ca="1" si="46"/>
        <v>755162.86442100641</v>
      </c>
      <c r="BC67" s="63">
        <f t="shared" ca="1" si="8"/>
        <v>124.34622936769907</v>
      </c>
      <c r="BD67" s="63">
        <f ca="1">SUM($BC$15:BC67)</f>
        <v>4907.9226875599215</v>
      </c>
      <c r="BF67" s="52">
        <f ca="1">EXP(-AVERAGE(AV$15:AV67)*AS67)</f>
        <v>0.86282335986801439</v>
      </c>
      <c r="BH67" s="52">
        <f t="shared" ca="1" si="32"/>
        <v>53</v>
      </c>
      <c r="BI67" s="71">
        <f t="shared" ca="1" si="33"/>
        <v>46591</v>
      </c>
      <c r="BJ67" s="71">
        <f t="shared" ca="1" si="9"/>
        <v>46622</v>
      </c>
      <c r="BK67" s="72">
        <f t="shared" ca="1" si="10"/>
        <v>31</v>
      </c>
      <c r="BL67" s="73">
        <f ca="1">SUM(BK$15:BK67)/360</f>
        <v>4.4833333333333334</v>
      </c>
      <c r="BM67" s="74">
        <f t="shared" si="11"/>
        <v>25000000</v>
      </c>
      <c r="BN67" s="59">
        <f t="shared" si="34"/>
        <v>0.05</v>
      </c>
      <c r="BO67" s="57">
        <f>Volatilities_Resets!$E56*0.01</f>
        <v>2.8312E-2</v>
      </c>
      <c r="BP67" s="61">
        <f>IF(BN67=BQ$11,Volatilities_Resets!$AA56,IF(BN67&gt;=BP$11,IF(BN67&lt;BQ$11,(((Volatilities_Resets!$AA56-Volatilities_Resets!$Y56)/50)*((Calculator!BN67-Calculator!BP$11)*10000)+Volatilities_Resets!$Y56)),IF(BN67&gt;=BP$10,IF(BN67&lt;BQ$10,(((Volatilities_Resets!$Y56-Volatilities_Resets!$W56)/50)*((Calculator!BN67-Calculator!BP$10)*10000)+Volatilities_Resets!$W56)),IF(BN67&gt;=BP$9,IF(BN67&lt;BQ$9,(((Volatilities_Resets!$W56-Volatilities_Resets!$U56)/50)*((Calculator!BN67-Calculator!BP$9)*10000)+Volatilities_Resets!$U56)),IF(BN67&gt;=BP$8,IF(BN67&lt;BQ$8,(((Volatilities_Resets!$U56-Volatilities_Resets!$S56)/50)*((Calculator!BN67-Calculator!BP$8)*10000)+Volatilities_Resets!$S56)),IF(BN67&gt;=BP$7,IF(BN67&lt;BQ$7,(((Volatilities_Resets!$S56-Volatilities_Resets!$Q56)/50)*((Calculator!BN67-Calculator!BP$7)*10000)+Volatilities_Resets!$Q56)),IF(BN67&gt;=BP$6,IF(BN67&lt;BQ$6,(((Volatilities_Resets!$Q56-Volatilities_Resets!$O56)/50)*((Calculator!BN67-Calculator!BP$6)*10000)+Volatilities_Resets!$O56)),IF(BN67&gt;=BP$5,IF(BN67&lt;BQ$5,(((Volatilities_Resets!$O56-Volatilities_Resets!$M56)/50)*((Calculator!BN67-Calculator!BP$5)*10000)+Volatilities_Resets!$M56)),IF(BN67&gt;=BP$4,IF(BN67&lt;BQ$4,(((Volatilities_Resets!$M56-Volatilities_Resets!$K56)/50)*((Calculator!BN67-Calculator!BP$4)*10000)+Volatilities_Resets!$K56)),IF(BN67&gt;=BP$3,IF(BN67&lt;BQ$3,(((Volatilities_Resets!$K56-Volatilities_Resets!$I56)/50)*((Calculator!BN67-Calculator!BP$3)*10000)+Volatilities_Resets!$I56)),IF(BN67&gt;=BP$2,IF(BN67&lt;BQ$2,(((Volatilities_Resets!$I56-Volatilities_Resets!$G56)/50)*((Calculator!BN67-Calculator!BP$2)*10000)+Volatilities_Resets!$G56)),"Well, something broke...")))))))))))/10000</f>
        <v>1.4494999999999999E-2</v>
      </c>
      <c r="BQ67" s="63">
        <f t="shared" ca="1" si="35"/>
        <v>8054.0859245458814</v>
      </c>
      <c r="BR67" s="63">
        <f t="shared" ca="1" si="36"/>
        <v>3.2706126146513336E-4</v>
      </c>
      <c r="BS67" s="63">
        <f t="shared" ca="1" si="47"/>
        <v>404007.52346824168</v>
      </c>
      <c r="BV67" s="63">
        <f t="shared" ca="1" si="37"/>
        <v>105.64893441807747</v>
      </c>
      <c r="BW67" s="63">
        <f ca="1">SUM($BV$15:BV67)</f>
        <v>4211.272971751112</v>
      </c>
      <c r="BY67" s="52">
        <f ca="1">EXP(-AVERAGE(BO$15:BO67)*BL67)</f>
        <v>0.86282335986801439</v>
      </c>
      <c r="CA67" s="52">
        <f t="shared" ca="1" si="38"/>
        <v>53</v>
      </c>
      <c r="CB67" s="71">
        <f t="shared" ca="1" si="39"/>
        <v>46591</v>
      </c>
      <c r="CC67" s="71">
        <f t="shared" ca="1" si="12"/>
        <v>46622</v>
      </c>
      <c r="CD67" s="72">
        <f t="shared" ca="1" si="13"/>
        <v>31</v>
      </c>
      <c r="CE67" s="73">
        <f ca="1">SUM(CD$15:CD67)/360</f>
        <v>4.4833333333333334</v>
      </c>
      <c r="CF67" s="74">
        <f t="shared" si="14"/>
        <v>25000000</v>
      </c>
      <c r="CG67" s="59">
        <f t="shared" si="40"/>
        <v>0.06</v>
      </c>
      <c r="CH67" s="57">
        <f>Volatilities_Resets!$E56*0.01</f>
        <v>2.8312E-2</v>
      </c>
      <c r="CI67" s="61">
        <f>IF(CG67=CJ$11,Volatilities_Resets!$AA56,IF(CG67&gt;=CI$11,IF(CG67&lt;CJ$11,(((Volatilities_Resets!$AA56-Volatilities_Resets!$Y56)/50)*((Calculator!CG67-Calculator!CI$11)*10000)+Volatilities_Resets!$Y56)),IF(CG67&gt;=CI$10,IF(CG67&lt;CJ$10,(((Volatilities_Resets!$Y56-Volatilities_Resets!$W56)/50)*((Calculator!CG67-Calculator!CI$10)*10000)+Volatilities_Resets!$W56)),IF(CG67&gt;=CI$9,IF(CG67&lt;CJ$9,(((Volatilities_Resets!$W56-Volatilities_Resets!$U56)/50)*((Calculator!CG67-Calculator!CI$9)*10000)+Volatilities_Resets!$U56)),IF(CG67&gt;=CI$8,IF(CG67&lt;CJ$8,(((Volatilities_Resets!$U56-Volatilities_Resets!$S56)/50)*((Calculator!CG67-Calculator!CI$8)*10000)+Volatilities_Resets!$S56)),IF(CG67&gt;=CI$7,IF(CG67&lt;CJ$7,(((Volatilities_Resets!$S56-Volatilities_Resets!$Q56)/50)*((Calculator!CG67-Calculator!CI$7)*10000)+Volatilities_Resets!$Q56)),IF(CG67&gt;=CI$6,IF(CG67&lt;CJ$6,(((Volatilities_Resets!$Q56-Volatilities_Resets!$O56)/50)*((Calculator!CG67-Calculator!CI$6)*10000)+Volatilities_Resets!$O56)),IF(CG67&gt;=CI$5,IF(CG67&lt;CJ$5,(((Volatilities_Resets!$O56-Volatilities_Resets!$M56)/50)*((Calculator!CG67-Calculator!CI$5)*10000)+Volatilities_Resets!$M56)),IF(CG67&gt;=CI$4,IF(CG67&lt;CJ$4,(((Volatilities_Resets!$M56-Volatilities_Resets!$K56)/50)*((Calculator!CG67-Calculator!CI$4)*10000)+Volatilities_Resets!$K56)),IF(CG67&gt;=CI$3,IF(CG67&lt;CJ$3,(((Volatilities_Resets!$K56-Volatilities_Resets!$I56)/50)*((Calculator!CG67-Calculator!CI$3)*10000)+Volatilities_Resets!$I56)),IF(CG67&gt;=CI$2,IF(CG67&lt;CJ$2,(((Volatilities_Resets!$I56-Volatilities_Resets!$G56)/50)*((Calculator!CG67-Calculator!CI$2)*10000)+Volatilities_Resets!$G56)),"Well, something broke...")))))))))))/10000</f>
        <v>1.5877000000000002E-2</v>
      </c>
      <c r="CJ67" s="63">
        <f t="shared" ca="1" si="41"/>
        <v>5796.6122664901886</v>
      </c>
      <c r="CK67" s="63">
        <f t="shared" ca="1" si="42"/>
        <v>2.3590063784814465E-4</v>
      </c>
      <c r="CL67" s="63">
        <f t="shared" ca="1" si="48"/>
        <v>225514.6878452597</v>
      </c>
      <c r="CO67" s="63">
        <f t="shared" ca="1" si="43"/>
        <v>87.062051953385847</v>
      </c>
      <c r="CP67" s="63">
        <f ca="1">SUM($CO$15:CO67)</f>
        <v>3182.6577487070454</v>
      </c>
      <c r="CR67" s="52">
        <f ca="1">EXP(-AVERAGE(CH$15:CH67)*CE67)</f>
        <v>0.86282335986801439</v>
      </c>
      <c r="CT67"/>
      <c r="CU67"/>
      <c r="CV67"/>
      <c r="CW67"/>
      <c r="CX67"/>
      <c r="CY67"/>
      <c r="CZ67"/>
      <c r="DA67"/>
      <c r="DB67"/>
      <c r="DC67"/>
      <c r="DD67"/>
      <c r="DE67"/>
      <c r="DF67"/>
      <c r="DG67"/>
      <c r="DH67"/>
      <c r="DI67"/>
      <c r="DJ67"/>
      <c r="DK67"/>
      <c r="DL67"/>
    </row>
    <row r="68" spans="2:116" ht="15.75" customHeight="1">
      <c r="B68" s="52">
        <v>5</v>
      </c>
      <c r="C68" s="52">
        <f t="shared" ca="1" si="49"/>
        <v>54</v>
      </c>
      <c r="D68" s="71">
        <f t="shared" ca="1" si="16"/>
        <v>46622</v>
      </c>
      <c r="E68" s="71">
        <f t="shared" ca="1" si="50"/>
        <v>46653</v>
      </c>
      <c r="F68" s="72">
        <f t="shared" ca="1" si="51"/>
        <v>31</v>
      </c>
      <c r="G68" s="73">
        <f ca="1">SUM($F$15:F68)/360</f>
        <v>4.5694444444444446</v>
      </c>
      <c r="H68" s="74">
        <f t="shared" si="2"/>
        <v>25000000</v>
      </c>
      <c r="I68" s="59">
        <f>IF('Cap Pricer'!$E$22=DataValidation!$C$2,'Cap Pricer'!$E$23,IF('Cap Pricer'!$E$22=DataValidation!$C$3,VLOOKUP($B68,'Cap Pricer'!$C$25:$E$31,3),""))</f>
        <v>0.02</v>
      </c>
      <c r="J68" s="57">
        <f>Volatilities_Resets!$E57*0.01</f>
        <v>2.8314200000000001E-2</v>
      </c>
      <c r="K68" s="61">
        <f>IF(I68=L$11,Volatilities_Resets!$AA57,IF(I68&gt;=K$11,IF(I68&lt;L$11,(((Volatilities_Resets!$AA57-Volatilities_Resets!$Y57)/50)*((Calculator!I68-Calculator!K$11)*10000)+Volatilities_Resets!$Y57)),IF(I68&gt;=K$10,IF(I68&lt;L$10,(((Volatilities_Resets!$Y57-Volatilities_Resets!$W57)/50)*((Calculator!I68-Calculator!K$10)*10000)+Volatilities_Resets!$W57)),IF(I68&gt;=K$9,IF(I68&lt;L$9,(((Volatilities_Resets!$W57-Volatilities_Resets!$U57)/50)*((Calculator!I68-Calculator!K$9)*10000)+Volatilities_Resets!$U57)),IF(I68&gt;=K$8,IF(I68&lt;L$8,(((Volatilities_Resets!$U57-Volatilities_Resets!$S57)/50)*((Calculator!I68-Calculator!K$8)*10000)+Volatilities_Resets!$S57)),IF(I68&gt;=K$7,IF(I68&lt;L$7,(((Volatilities_Resets!$S57-Volatilities_Resets!$Q57)/50)*((Calculator!I68-Calculator!K$7)*10000)+Volatilities_Resets!$Q57)),IF(I68&gt;=K$6,IF(I68&lt;L$6,(((Volatilities_Resets!$Q57-Volatilities_Resets!$O57)/50)*((Calculator!I68-Calculator!K$6)*10000)+Volatilities_Resets!$O57)),IF(I68&gt;=K$5,IF(I68&lt;L$5,(((Volatilities_Resets!$O57-Volatilities_Resets!$M57)/50)*((Calculator!I68-Calculator!K$5)*10000)+Volatilities_Resets!$M57)),IF(I68&gt;=K$4,IF(I68&lt;L$4,(((Volatilities_Resets!$M57-Volatilities_Resets!$K57)/50)*((Calculator!I68-Calculator!K$4)*10000)+Volatilities_Resets!$K57)),IF(I68&gt;=K$3,IF(I68&lt;L$3,(((Volatilities_Resets!$K57-Volatilities_Resets!$I57)/50)*((Calculator!I68-Calculator!K$3)*10000)+Volatilities_Resets!$I57)),IF(I68&gt;=K$2,IF(I68&lt;L$2,(((Volatilities_Resets!$I57-Volatilities_Resets!$G57)/50)*((Calculator!I68-Calculator!K$2)*10000)+Volatilities_Resets!$G57)),"Well, something broke...")))))))))))/10000</f>
        <v>1.2354E-2</v>
      </c>
      <c r="L68" s="47">
        <f t="shared" ca="1" si="17"/>
        <v>28183.677957945463</v>
      </c>
      <c r="M68" s="63">
        <f t="shared" ca="1" si="18"/>
        <v>1.133364535819718E-3</v>
      </c>
      <c r="N68" s="63">
        <f t="shared" ca="1" si="44"/>
        <v>1926629.1562688549</v>
      </c>
      <c r="Q68" s="63">
        <f t="shared" ca="1" si="19"/>
        <v>129.48223531725841</v>
      </c>
      <c r="R68" s="63">
        <f ca="1">SUM($Q$15:Q68)</f>
        <v>4798.2182181687367</v>
      </c>
      <c r="T68" s="52">
        <f ca="1">EXP(-AVERAGE(J$15:J68)*G68)</f>
        <v>0.86071631410907423</v>
      </c>
      <c r="U68" s="57"/>
      <c r="V68" s="52">
        <f t="shared" ca="1" si="20"/>
        <v>54</v>
      </c>
      <c r="W68" s="71">
        <f t="shared" ca="1" si="21"/>
        <v>46622</v>
      </c>
      <c r="X68" s="71">
        <f t="shared" ca="1" si="3"/>
        <v>46653</v>
      </c>
      <c r="Y68" s="72">
        <f t="shared" ca="1" si="4"/>
        <v>31</v>
      </c>
      <c r="Z68" s="73">
        <f ca="1">SUM(Y$15:Y68)/360</f>
        <v>4.5694444444444446</v>
      </c>
      <c r="AA68" s="74">
        <f t="shared" si="22"/>
        <v>25000000</v>
      </c>
      <c r="AB68" s="59">
        <f t="shared" si="23"/>
        <v>0.03</v>
      </c>
      <c r="AC68" s="57">
        <f>Volatilities_Resets!$E57*0.01</f>
        <v>2.8314200000000001E-2</v>
      </c>
      <c r="AD68" s="61">
        <f>IF(AB68=AE$11,Volatilities_Resets!$AA57,IF(AB68&gt;=AD$11,IF(AB68&lt;AE$11,(((Volatilities_Resets!$AA57-Volatilities_Resets!$Y57)/50)*((Calculator!AB68-Calculator!AD$11)*10000)+Volatilities_Resets!$Y57)),IF(AB68&gt;=AD$10,IF(AB68&lt;AE$10,(((Volatilities_Resets!$Y57-Volatilities_Resets!$W57)/50)*((Calculator!AB68-Calculator!AD$10)*10000)+Volatilities_Resets!$W57)),IF(AB68&gt;=AD$9,IF(AB68&lt;AE$9,(((Volatilities_Resets!$W57-Volatilities_Resets!$U57)/50)*((Calculator!AB68-Calculator!AD$9)*10000)+Volatilities_Resets!$U57)),IF(AB68&gt;=AD$8,IF(AB68&lt;AE$8,(((Volatilities_Resets!$U57-Volatilities_Resets!$S57)/50)*((Calculator!AB68-Calculator!AD$8)*10000)+Volatilities_Resets!$S57)),IF(AB68&gt;=AD$7,IF(AB68&lt;AE$7,(((Volatilities_Resets!$S57-Volatilities_Resets!$Q57)/50)*((Calculator!AB68-Calculator!AD$7)*10000)+Volatilities_Resets!$Q57)),IF(AB68&gt;=AD$6,IF(AB68&lt;AE$6,(((Volatilities_Resets!$Q57-Volatilities_Resets!$O57)/50)*((Calculator!AB68-Calculator!AD$6)*10000)+Volatilities_Resets!$O57)),IF(AB68&gt;=AD$5,IF(AB68&lt;AE$5,(((Volatilities_Resets!$O57-Volatilities_Resets!$M57)/50)*((Calculator!AB68-Calculator!AD$5)*10000)+Volatilities_Resets!$M57)),IF(AB68&gt;=AD$4,IF(AB68&lt;AE$4,(((Volatilities_Resets!$M57-Volatilities_Resets!$K57)/50)*((Calculator!AB68-Calculator!AD$4)*10000)+Volatilities_Resets!$K57)),IF(AB68&gt;=AD$3,IF(AB68&lt;AE$3,(((Volatilities_Resets!$K57-Volatilities_Resets!$I57)/50)*((Calculator!AB68-Calculator!AD$3)*10000)+Volatilities_Resets!$I57)),IF(AB68&gt;=AD$2,IF(AB68&lt;AE$2,(((Volatilities_Resets!$I57-Volatilities_Resets!$G57)/50)*((Calculator!AB68-Calculator!AD$2)*10000)+Volatilities_Resets!$G57)),"Well, something broke...")))))))))))/10000</f>
        <v>1.2579E-2</v>
      </c>
      <c r="AE68" s="63">
        <f t="shared" ca="1" si="24"/>
        <v>18354.045280942966</v>
      </c>
      <c r="AF68" s="63">
        <f t="shared" ca="1" si="25"/>
        <v>7.4047013844683507E-4</v>
      </c>
      <c r="AG68" s="63">
        <f t="shared" ca="1" si="45"/>
        <v>1270804.5816592274</v>
      </c>
      <c r="AJ68" s="63">
        <f t="shared" ca="1" si="26"/>
        <v>135.74200359061783</v>
      </c>
      <c r="AK68" s="63">
        <f ca="1">SUM($AJ$15:AJ68)</f>
        <v>5226.2577755563689</v>
      </c>
      <c r="AM68" s="52">
        <f ca="1">EXP(-AVERAGE(AC$15:AC68)*Z68)</f>
        <v>0.86071631410907423</v>
      </c>
      <c r="AO68" s="52">
        <f t="shared" ca="1" si="27"/>
        <v>54</v>
      </c>
      <c r="AP68" s="71">
        <f t="shared" ca="1" si="28"/>
        <v>46622</v>
      </c>
      <c r="AQ68" s="71">
        <f t="shared" ca="1" si="5"/>
        <v>46653</v>
      </c>
      <c r="AR68" s="72">
        <f t="shared" ca="1" si="6"/>
        <v>31</v>
      </c>
      <c r="AS68" s="73">
        <f ca="1">SUM(AR$15:AR68)/360</f>
        <v>4.5694444444444446</v>
      </c>
      <c r="AT68" s="74">
        <f t="shared" si="7"/>
        <v>25000000</v>
      </c>
      <c r="AU68" s="59">
        <f t="shared" si="29"/>
        <v>0.04</v>
      </c>
      <c r="AV68" s="57">
        <f>Volatilities_Resets!$E57*0.01</f>
        <v>2.8314200000000001E-2</v>
      </c>
      <c r="AW68" s="61">
        <f>IF(AU68=AX$11,Volatilities_Resets!$AA57,IF(AU68&gt;=AW$11,IF(AU68&lt;AX$11,(((Volatilities_Resets!$AA57-Volatilities_Resets!$Y57)/50)*((Calculator!AU68-Calculator!AW$11)*10000)+Volatilities_Resets!$Y57)),IF(AU68&gt;=AW$10,IF(AU68&lt;AX$10,(((Volatilities_Resets!$Y57-Volatilities_Resets!$W57)/50)*((Calculator!AU68-Calculator!AW$10)*10000)+Volatilities_Resets!$W57)),IF(AU68&gt;=AW$9,IF(AU68&lt;AX$9,(((Volatilities_Resets!$W57-Volatilities_Resets!$U57)/50)*((Calculator!AU68-Calculator!AW$9)*10000)+Volatilities_Resets!$U57)),IF(AU68&gt;=AW$8,IF(AU68&lt;AX$8,(((Volatilities_Resets!$U57-Volatilities_Resets!$S57)/50)*((Calculator!AU68-Calculator!AW$8)*10000)+Volatilities_Resets!$S57)),IF(AU68&gt;=AW$7,IF(AU68&lt;AX$7,(((Volatilities_Resets!$S57-Volatilities_Resets!$Q57)/50)*((Calculator!AU68-Calculator!AW$7)*10000)+Volatilities_Resets!$Q57)),IF(AU68&gt;=AW$6,IF(AU68&lt;AX$6,(((Volatilities_Resets!$Q57-Volatilities_Resets!$O57)/50)*((Calculator!AU68-Calculator!AW$6)*10000)+Volatilities_Resets!$O57)),IF(AU68&gt;=AW$5,IF(AU68&lt;AX$5,(((Volatilities_Resets!$O57-Volatilities_Resets!$M57)/50)*((Calculator!AU68-Calculator!AW$5)*10000)+Volatilities_Resets!$M57)),IF(AU68&gt;=AW$4,IF(AU68&lt;AX$4,(((Volatilities_Resets!$M57-Volatilities_Resets!$K57)/50)*((Calculator!AU68-Calculator!AW$4)*10000)+Volatilities_Resets!$K57)),IF(AU68&gt;=AW$3,IF(AU68&lt;AX$3,(((Volatilities_Resets!$K57-Volatilities_Resets!$I57)/50)*((Calculator!AU68-Calculator!AW$3)*10000)+Volatilities_Resets!$I57)),IF(AU68&gt;=AW$2,IF(AU68&lt;AX$2,(((Volatilities_Resets!$I57-Volatilities_Resets!$G57)/50)*((Calculator!AU68-Calculator!AW$2)*10000)+Volatilities_Resets!$G57)),"Well, something broke...")))))))))))/10000</f>
        <v>1.3337E-2</v>
      </c>
      <c r="AX68" s="63">
        <f t="shared" ca="1" si="30"/>
        <v>11994.103492110871</v>
      </c>
      <c r="AY68" s="63">
        <f t="shared" ca="1" si="31"/>
        <v>4.8557913612610483E-4</v>
      </c>
      <c r="AZ68" s="63">
        <f t="shared" ca="1" si="46"/>
        <v>767156.96791311726</v>
      </c>
      <c r="BC68" s="63">
        <f t="shared" ca="1" si="8"/>
        <v>125.12655759578938</v>
      </c>
      <c r="BD68" s="63">
        <f ca="1">SUM($BC$15:BC68)</f>
        <v>5033.0492451557111</v>
      </c>
      <c r="BF68" s="52">
        <f ca="1">EXP(-AVERAGE(AV$15:AV68)*AS68)</f>
        <v>0.86071631410907423</v>
      </c>
      <c r="BH68" s="52">
        <f t="shared" ca="1" si="32"/>
        <v>54</v>
      </c>
      <c r="BI68" s="71">
        <f t="shared" ca="1" si="33"/>
        <v>46622</v>
      </c>
      <c r="BJ68" s="71">
        <f t="shared" ca="1" si="9"/>
        <v>46653</v>
      </c>
      <c r="BK68" s="72">
        <f t="shared" ca="1" si="10"/>
        <v>31</v>
      </c>
      <c r="BL68" s="73">
        <f ca="1">SUM(BK$15:BK68)/360</f>
        <v>4.5694444444444446</v>
      </c>
      <c r="BM68" s="74">
        <f t="shared" si="11"/>
        <v>25000000</v>
      </c>
      <c r="BN68" s="59">
        <f t="shared" si="34"/>
        <v>0.05</v>
      </c>
      <c r="BO68" s="57">
        <f>Volatilities_Resets!$E57*0.01</f>
        <v>2.8314200000000001E-2</v>
      </c>
      <c r="BP68" s="61">
        <f>IF(BN68=BQ$11,Volatilities_Resets!$AA57,IF(BN68&gt;=BP$11,IF(BN68&lt;BQ$11,(((Volatilities_Resets!$AA57-Volatilities_Resets!$Y57)/50)*((Calculator!BN68-Calculator!BP$11)*10000)+Volatilities_Resets!$Y57)),IF(BN68&gt;=BP$10,IF(BN68&lt;BQ$10,(((Volatilities_Resets!$Y57-Volatilities_Resets!$W57)/50)*((Calculator!BN68-Calculator!BP$10)*10000)+Volatilities_Resets!$W57)),IF(BN68&gt;=BP$9,IF(BN68&lt;BQ$9,(((Volatilities_Resets!$W57-Volatilities_Resets!$U57)/50)*((Calculator!BN68-Calculator!BP$9)*10000)+Volatilities_Resets!$U57)),IF(BN68&gt;=BP$8,IF(BN68&lt;BQ$8,(((Volatilities_Resets!$U57-Volatilities_Resets!$S57)/50)*((Calculator!BN68-Calculator!BP$8)*10000)+Volatilities_Resets!$S57)),IF(BN68&gt;=BP$7,IF(BN68&lt;BQ$7,(((Volatilities_Resets!$S57-Volatilities_Resets!$Q57)/50)*((Calculator!BN68-Calculator!BP$7)*10000)+Volatilities_Resets!$Q57)),IF(BN68&gt;=BP$6,IF(BN68&lt;BQ$6,(((Volatilities_Resets!$Q57-Volatilities_Resets!$O57)/50)*((Calculator!BN68-Calculator!BP$6)*10000)+Volatilities_Resets!$O57)),IF(BN68&gt;=BP$5,IF(BN68&lt;BQ$5,(((Volatilities_Resets!$O57-Volatilities_Resets!$M57)/50)*((Calculator!BN68-Calculator!BP$5)*10000)+Volatilities_Resets!$M57)),IF(BN68&gt;=BP$4,IF(BN68&lt;BQ$4,(((Volatilities_Resets!$M57-Volatilities_Resets!$K57)/50)*((Calculator!BN68-Calculator!BP$4)*10000)+Volatilities_Resets!$K57)),IF(BN68&gt;=BP$3,IF(BN68&lt;BQ$3,(((Volatilities_Resets!$K57-Volatilities_Resets!$I57)/50)*((Calculator!BN68-Calculator!BP$3)*10000)+Volatilities_Resets!$I57)),IF(BN68&gt;=BP$2,IF(BN68&lt;BQ$2,(((Volatilities_Resets!$I57-Volatilities_Resets!$G57)/50)*((Calculator!BN68-Calculator!BP$2)*10000)+Volatilities_Resets!$G57)),"Well, something broke...")))))))))))/10000</f>
        <v>1.4494999999999999E-2</v>
      </c>
      <c r="BQ68" s="63">
        <f t="shared" ca="1" si="35"/>
        <v>8204.7367997036363</v>
      </c>
      <c r="BR68" s="63">
        <f t="shared" ca="1" si="36"/>
        <v>3.3314538142907081E-4</v>
      </c>
      <c r="BS68" s="63">
        <f t="shared" ca="1" si="47"/>
        <v>412212.2602679453</v>
      </c>
      <c r="BV68" s="63">
        <f t="shared" ca="1" si="37"/>
        <v>106.64080267629085</v>
      </c>
      <c r="BW68" s="63">
        <f ca="1">SUM($BV$15:BV68)</f>
        <v>4317.913774427403</v>
      </c>
      <c r="BY68" s="52">
        <f ca="1">EXP(-AVERAGE(BO$15:BO68)*BL68)</f>
        <v>0.86071631410907423</v>
      </c>
      <c r="CA68" s="52">
        <f t="shared" ca="1" si="38"/>
        <v>54</v>
      </c>
      <c r="CB68" s="71">
        <f t="shared" ca="1" si="39"/>
        <v>46622</v>
      </c>
      <c r="CC68" s="71">
        <f t="shared" ca="1" si="12"/>
        <v>46653</v>
      </c>
      <c r="CD68" s="72">
        <f t="shared" ca="1" si="13"/>
        <v>31</v>
      </c>
      <c r="CE68" s="73">
        <f ca="1">SUM(CD$15:CD68)/360</f>
        <v>4.5694444444444446</v>
      </c>
      <c r="CF68" s="74">
        <f t="shared" si="14"/>
        <v>25000000</v>
      </c>
      <c r="CG68" s="59">
        <f t="shared" si="40"/>
        <v>0.06</v>
      </c>
      <c r="CH68" s="57">
        <f>Volatilities_Resets!$E57*0.01</f>
        <v>2.8314200000000001E-2</v>
      </c>
      <c r="CI68" s="61">
        <f>IF(CG68=CJ$11,Volatilities_Resets!$AA57,IF(CG68&gt;=CI$11,IF(CG68&lt;CJ$11,(((Volatilities_Resets!$AA57-Volatilities_Resets!$Y57)/50)*((Calculator!CG68-Calculator!CI$11)*10000)+Volatilities_Resets!$Y57)),IF(CG68&gt;=CI$10,IF(CG68&lt;CJ$10,(((Volatilities_Resets!$Y57-Volatilities_Resets!$W57)/50)*((Calculator!CG68-Calculator!CI$10)*10000)+Volatilities_Resets!$W57)),IF(CG68&gt;=CI$9,IF(CG68&lt;CJ$9,(((Volatilities_Resets!$W57-Volatilities_Resets!$U57)/50)*((Calculator!CG68-Calculator!CI$9)*10000)+Volatilities_Resets!$U57)),IF(CG68&gt;=CI$8,IF(CG68&lt;CJ$8,(((Volatilities_Resets!$U57-Volatilities_Resets!$S57)/50)*((Calculator!CG68-Calculator!CI$8)*10000)+Volatilities_Resets!$S57)),IF(CG68&gt;=CI$7,IF(CG68&lt;CJ$7,(((Volatilities_Resets!$S57-Volatilities_Resets!$Q57)/50)*((Calculator!CG68-Calculator!CI$7)*10000)+Volatilities_Resets!$Q57)),IF(CG68&gt;=CI$6,IF(CG68&lt;CJ$6,(((Volatilities_Resets!$Q57-Volatilities_Resets!$O57)/50)*((Calculator!CG68-Calculator!CI$6)*10000)+Volatilities_Resets!$O57)),IF(CG68&gt;=CI$5,IF(CG68&lt;CJ$5,(((Volatilities_Resets!$O57-Volatilities_Resets!$M57)/50)*((Calculator!CG68-Calculator!CI$5)*10000)+Volatilities_Resets!$M57)),IF(CG68&gt;=CI$4,IF(CG68&lt;CJ$4,(((Volatilities_Resets!$M57-Volatilities_Resets!$K57)/50)*((Calculator!CG68-Calculator!CI$4)*10000)+Volatilities_Resets!$K57)),IF(CG68&gt;=CI$3,IF(CG68&lt;CJ$3,(((Volatilities_Resets!$K57-Volatilities_Resets!$I57)/50)*((Calculator!CG68-Calculator!CI$3)*10000)+Volatilities_Resets!$I57)),IF(CG68&gt;=CI$2,IF(CG68&lt;CJ$2,(((Volatilities_Resets!$I57-Volatilities_Resets!$G57)/50)*((Calculator!CG68-Calculator!CI$2)*10000)+Volatilities_Resets!$G57)),"Well, something broke...")))))))))))/10000</f>
        <v>1.5877000000000002E-2</v>
      </c>
      <c r="CJ68" s="63">
        <f t="shared" ca="1" si="41"/>
        <v>5936.1357122191357</v>
      </c>
      <c r="CK68" s="63">
        <f t="shared" ca="1" si="42"/>
        <v>2.4154440546499567E-4</v>
      </c>
      <c r="CL68" s="63">
        <f t="shared" ca="1" si="48"/>
        <v>231450.82355747884</v>
      </c>
      <c r="CO68" s="63">
        <f t="shared" ca="1" si="43"/>
        <v>88.201408864971171</v>
      </c>
      <c r="CP68" s="63">
        <f ca="1">SUM($CO$15:CO68)</f>
        <v>3270.8591575720166</v>
      </c>
      <c r="CR68" s="52">
        <f ca="1">EXP(-AVERAGE(CH$15:CH68)*CE68)</f>
        <v>0.86071631410907423</v>
      </c>
      <c r="CT68"/>
      <c r="CU68"/>
      <c r="CV68"/>
      <c r="CW68"/>
      <c r="CX68"/>
      <c r="CY68"/>
      <c r="CZ68"/>
      <c r="DA68"/>
      <c r="DB68"/>
      <c r="DC68"/>
      <c r="DD68"/>
      <c r="DE68"/>
      <c r="DF68"/>
      <c r="DG68"/>
      <c r="DH68"/>
      <c r="DI68"/>
      <c r="DJ68"/>
      <c r="DK68"/>
      <c r="DL68"/>
    </row>
    <row r="69" spans="2:116" ht="15.75" customHeight="1">
      <c r="B69" s="52">
        <v>5</v>
      </c>
      <c r="C69" s="52">
        <f t="shared" ca="1" si="49"/>
        <v>55</v>
      </c>
      <c r="D69" s="71">
        <f t="shared" ca="1" si="16"/>
        <v>46653</v>
      </c>
      <c r="E69" s="71">
        <f t="shared" ca="1" si="50"/>
        <v>46683</v>
      </c>
      <c r="F69" s="72">
        <f t="shared" ca="1" si="51"/>
        <v>30</v>
      </c>
      <c r="G69" s="73">
        <f ca="1">SUM($F$15:F69)/360</f>
        <v>4.6527777777777777</v>
      </c>
      <c r="H69" s="74">
        <f t="shared" si="2"/>
        <v>25000000</v>
      </c>
      <c r="I69" s="59">
        <f>IF('Cap Pricer'!$E$22=DataValidation!$C$2,'Cap Pricer'!$E$23,IF('Cap Pricer'!$E$22=DataValidation!$C$3,VLOOKUP($B69,'Cap Pricer'!$C$25:$E$31,3),""))</f>
        <v>0.02</v>
      </c>
      <c r="J69" s="57">
        <f>Volatilities_Resets!$E58*0.01</f>
        <v>2.83109E-2</v>
      </c>
      <c r="K69" s="61">
        <f>IF(I69=L$11,Volatilities_Resets!$AA58,IF(I69&gt;=K$11,IF(I69&lt;L$11,(((Volatilities_Resets!$AA58-Volatilities_Resets!$Y58)/50)*((Calculator!I69-Calculator!K$11)*10000)+Volatilities_Resets!$Y58)),IF(I69&gt;=K$10,IF(I69&lt;L$10,(((Volatilities_Resets!$Y58-Volatilities_Resets!$W58)/50)*((Calculator!I69-Calculator!K$10)*10000)+Volatilities_Resets!$W58)),IF(I69&gt;=K$9,IF(I69&lt;L$9,(((Volatilities_Resets!$W58-Volatilities_Resets!$U58)/50)*((Calculator!I69-Calculator!K$9)*10000)+Volatilities_Resets!$U58)),IF(I69&gt;=K$8,IF(I69&lt;L$8,(((Volatilities_Resets!$U58-Volatilities_Resets!$S58)/50)*((Calculator!I69-Calculator!K$8)*10000)+Volatilities_Resets!$S58)),IF(I69&gt;=K$7,IF(I69&lt;L$7,(((Volatilities_Resets!$S58-Volatilities_Resets!$Q58)/50)*((Calculator!I69-Calculator!K$7)*10000)+Volatilities_Resets!$Q58)),IF(I69&gt;=K$6,IF(I69&lt;L$6,(((Volatilities_Resets!$Q58-Volatilities_Resets!$O58)/50)*((Calculator!I69-Calculator!K$6)*10000)+Volatilities_Resets!$O58)),IF(I69&gt;=K$5,IF(I69&lt;L$5,(((Volatilities_Resets!$O58-Volatilities_Resets!$M58)/50)*((Calculator!I69-Calculator!K$5)*10000)+Volatilities_Resets!$M58)),IF(I69&gt;=K$4,IF(I69&lt;L$4,(((Volatilities_Resets!$M58-Volatilities_Resets!$K58)/50)*((Calculator!I69-Calculator!K$4)*10000)+Volatilities_Resets!$K58)),IF(I69&gt;=K$3,IF(I69&lt;L$3,(((Volatilities_Resets!$K58-Volatilities_Resets!$I58)/50)*((Calculator!I69-Calculator!K$3)*10000)+Volatilities_Resets!$I58)),IF(I69&gt;=K$2,IF(I69&lt;L$2,(((Volatilities_Resets!$I58-Volatilities_Resets!$G58)/50)*((Calculator!I69-Calculator!K$2)*10000)+Volatilities_Resets!$G58)),"Well, something broke...")))))))))))/10000</f>
        <v>1.2354E-2</v>
      </c>
      <c r="L69" s="47">
        <f t="shared" ca="1" si="17"/>
        <v>27369.618687710481</v>
      </c>
      <c r="M69" s="63">
        <f t="shared" ca="1" si="18"/>
        <v>1.1006524903832177E-3</v>
      </c>
      <c r="N69" s="63">
        <f t="shared" ca="1" si="44"/>
        <v>1953998.7749565654</v>
      </c>
      <c r="Q69" s="63">
        <f t="shared" ca="1" si="19"/>
        <v>125.96473797371887</v>
      </c>
      <c r="R69" s="63">
        <f ca="1">SUM($Q$15:Q69)</f>
        <v>4924.1829561424556</v>
      </c>
      <c r="T69" s="52">
        <f ca="1">EXP(-AVERAGE(J$15:J69)*G69)</f>
        <v>0.85869296362475889</v>
      </c>
      <c r="U69" s="57"/>
      <c r="V69" s="52">
        <f t="shared" ca="1" si="20"/>
        <v>55</v>
      </c>
      <c r="W69" s="71">
        <f t="shared" ca="1" si="21"/>
        <v>46653</v>
      </c>
      <c r="X69" s="71">
        <f t="shared" ca="1" si="3"/>
        <v>46683</v>
      </c>
      <c r="Y69" s="72">
        <f t="shared" ca="1" si="4"/>
        <v>30</v>
      </c>
      <c r="Z69" s="73">
        <f ca="1">SUM(Y$15:Y69)/360</f>
        <v>4.6527777777777777</v>
      </c>
      <c r="AA69" s="74">
        <f t="shared" si="22"/>
        <v>25000000</v>
      </c>
      <c r="AB69" s="59">
        <f t="shared" si="23"/>
        <v>0.03</v>
      </c>
      <c r="AC69" s="57">
        <f>Volatilities_Resets!$E58*0.01</f>
        <v>2.83109E-2</v>
      </c>
      <c r="AD69" s="61">
        <f>IF(AB69=AE$11,Volatilities_Resets!$AA58,IF(AB69&gt;=AD$11,IF(AB69&lt;AE$11,(((Volatilities_Resets!$AA58-Volatilities_Resets!$Y58)/50)*((Calculator!AB69-Calculator!AD$11)*10000)+Volatilities_Resets!$Y58)),IF(AB69&gt;=AD$10,IF(AB69&lt;AE$10,(((Volatilities_Resets!$Y58-Volatilities_Resets!$W58)/50)*((Calculator!AB69-Calculator!AD$10)*10000)+Volatilities_Resets!$W58)),IF(AB69&gt;=AD$9,IF(AB69&lt;AE$9,(((Volatilities_Resets!$W58-Volatilities_Resets!$U58)/50)*((Calculator!AB69-Calculator!AD$9)*10000)+Volatilities_Resets!$U58)),IF(AB69&gt;=AD$8,IF(AB69&lt;AE$8,(((Volatilities_Resets!$U58-Volatilities_Resets!$S58)/50)*((Calculator!AB69-Calculator!AD$8)*10000)+Volatilities_Resets!$S58)),IF(AB69&gt;=AD$7,IF(AB69&lt;AE$7,(((Volatilities_Resets!$S58-Volatilities_Resets!$Q58)/50)*((Calculator!AB69-Calculator!AD$7)*10000)+Volatilities_Resets!$Q58)),IF(AB69&gt;=AD$6,IF(AB69&lt;AE$6,(((Volatilities_Resets!$Q58-Volatilities_Resets!$O58)/50)*((Calculator!AB69-Calculator!AD$6)*10000)+Volatilities_Resets!$O58)),IF(AB69&gt;=AD$5,IF(AB69&lt;AE$5,(((Volatilities_Resets!$O58-Volatilities_Resets!$M58)/50)*((Calculator!AB69-Calculator!AD$5)*10000)+Volatilities_Resets!$M58)),IF(AB69&gt;=AD$4,IF(AB69&lt;AE$4,(((Volatilities_Resets!$M58-Volatilities_Resets!$K58)/50)*((Calculator!AB69-Calculator!AD$4)*10000)+Volatilities_Resets!$K58)),IF(AB69&gt;=AD$3,IF(AB69&lt;AE$3,(((Volatilities_Resets!$K58-Volatilities_Resets!$I58)/50)*((Calculator!AB69-Calculator!AD$3)*10000)+Volatilities_Resets!$I58)),IF(AB69&gt;=AD$2,IF(AB69&lt;AE$2,(((Volatilities_Resets!$I58-Volatilities_Resets!$G58)/50)*((Calculator!AB69-Calculator!AD$2)*10000)+Volatilities_Resets!$G58)),"Well, something broke...")))))))))))/10000</f>
        <v>1.2579E-2</v>
      </c>
      <c r="AE69" s="63">
        <f t="shared" ca="1" si="24"/>
        <v>17891.278597642355</v>
      </c>
      <c r="AF69" s="63">
        <f t="shared" ca="1" si="25"/>
        <v>7.2179707948836754E-4</v>
      </c>
      <c r="AG69" s="63">
        <f t="shared" ca="1" si="45"/>
        <v>1288695.8602568698</v>
      </c>
      <c r="AJ69" s="63">
        <f t="shared" ca="1" si="26"/>
        <v>131.93679099331564</v>
      </c>
      <c r="AK69" s="63">
        <f ca="1">SUM($AJ$15:AJ69)</f>
        <v>5358.1945665496842</v>
      </c>
      <c r="AM69" s="52">
        <f ca="1">EXP(-AVERAGE(AC$15:AC69)*Z69)</f>
        <v>0.85869296362475889</v>
      </c>
      <c r="AO69" s="52">
        <f t="shared" ca="1" si="27"/>
        <v>55</v>
      </c>
      <c r="AP69" s="71">
        <f t="shared" ca="1" si="28"/>
        <v>46653</v>
      </c>
      <c r="AQ69" s="71">
        <f t="shared" ca="1" si="5"/>
        <v>46683</v>
      </c>
      <c r="AR69" s="72">
        <f t="shared" ca="1" si="6"/>
        <v>30</v>
      </c>
      <c r="AS69" s="73">
        <f ca="1">SUM(AR$15:AR69)/360</f>
        <v>4.6527777777777777</v>
      </c>
      <c r="AT69" s="74">
        <f t="shared" si="7"/>
        <v>25000000</v>
      </c>
      <c r="AU69" s="59">
        <f t="shared" si="29"/>
        <v>0.04</v>
      </c>
      <c r="AV69" s="57">
        <f>Volatilities_Resets!$E58*0.01</f>
        <v>2.83109E-2</v>
      </c>
      <c r="AW69" s="61">
        <f>IF(AU69=AX$11,Volatilities_Resets!$AA58,IF(AU69&gt;=AW$11,IF(AU69&lt;AX$11,(((Volatilities_Resets!$AA58-Volatilities_Resets!$Y58)/50)*((Calculator!AU69-Calculator!AW$11)*10000)+Volatilities_Resets!$Y58)),IF(AU69&gt;=AW$10,IF(AU69&lt;AX$10,(((Volatilities_Resets!$Y58-Volatilities_Resets!$W58)/50)*((Calculator!AU69-Calculator!AW$10)*10000)+Volatilities_Resets!$W58)),IF(AU69&gt;=AW$9,IF(AU69&lt;AX$9,(((Volatilities_Resets!$W58-Volatilities_Resets!$U58)/50)*((Calculator!AU69-Calculator!AW$9)*10000)+Volatilities_Resets!$U58)),IF(AU69&gt;=AW$8,IF(AU69&lt;AX$8,(((Volatilities_Resets!$U58-Volatilities_Resets!$S58)/50)*((Calculator!AU69-Calculator!AW$8)*10000)+Volatilities_Resets!$S58)),IF(AU69&gt;=AW$7,IF(AU69&lt;AX$7,(((Volatilities_Resets!$S58-Volatilities_Resets!$Q58)/50)*((Calculator!AU69-Calculator!AW$7)*10000)+Volatilities_Resets!$Q58)),IF(AU69&gt;=AW$6,IF(AU69&lt;AX$6,(((Volatilities_Resets!$Q58-Volatilities_Resets!$O58)/50)*((Calculator!AU69-Calculator!AW$6)*10000)+Volatilities_Resets!$O58)),IF(AU69&gt;=AW$5,IF(AU69&lt;AX$5,(((Volatilities_Resets!$O58-Volatilities_Resets!$M58)/50)*((Calculator!AU69-Calculator!AW$5)*10000)+Volatilities_Resets!$M58)),IF(AU69&gt;=AW$4,IF(AU69&lt;AX$4,(((Volatilities_Resets!$M58-Volatilities_Resets!$K58)/50)*((Calculator!AU69-Calculator!AW$4)*10000)+Volatilities_Resets!$K58)),IF(AU69&gt;=AW$3,IF(AU69&lt;AX$3,(((Volatilities_Resets!$K58-Volatilities_Resets!$I58)/50)*((Calculator!AU69-Calculator!AW$3)*10000)+Volatilities_Resets!$I58)),IF(AU69&gt;=AW$2,IF(AU69&lt;AX$2,(((Volatilities_Resets!$I58-Volatilities_Resets!$G58)/50)*((Calculator!AU69-Calculator!AW$2)*10000)+Volatilities_Resets!$G58)),"Well, something broke...")))))))))))/10000</f>
        <v>1.3337E-2</v>
      </c>
      <c r="AX69" s="63">
        <f t="shared" ca="1" si="30"/>
        <v>11747.832276194453</v>
      </c>
      <c r="AY69" s="63">
        <f t="shared" ca="1" si="31"/>
        <v>4.7558664414908136E-4</v>
      </c>
      <c r="AZ69" s="63">
        <f t="shared" ca="1" si="46"/>
        <v>778904.80018931173</v>
      </c>
      <c r="BC69" s="63">
        <f t="shared" ca="1" si="8"/>
        <v>121.79170970619462</v>
      </c>
      <c r="BD69" s="63">
        <f ca="1">SUM($BC$15:BC69)</f>
        <v>5154.8409548619056</v>
      </c>
      <c r="BF69" s="52">
        <f ca="1">EXP(-AVERAGE(AV$15:AV69)*AS69)</f>
        <v>0.85869296362475889</v>
      </c>
      <c r="BH69" s="52">
        <f t="shared" ca="1" si="32"/>
        <v>55</v>
      </c>
      <c r="BI69" s="71">
        <f t="shared" ca="1" si="33"/>
        <v>46653</v>
      </c>
      <c r="BJ69" s="71">
        <f t="shared" ca="1" si="9"/>
        <v>46683</v>
      </c>
      <c r="BK69" s="72">
        <f t="shared" ca="1" si="10"/>
        <v>30</v>
      </c>
      <c r="BL69" s="73">
        <f ca="1">SUM(BK$15:BK69)/360</f>
        <v>4.6527777777777777</v>
      </c>
      <c r="BM69" s="74">
        <f t="shared" si="11"/>
        <v>25000000</v>
      </c>
      <c r="BN69" s="59">
        <f t="shared" si="34"/>
        <v>0.05</v>
      </c>
      <c r="BO69" s="57">
        <f>Volatilities_Resets!$E58*0.01</f>
        <v>2.83109E-2</v>
      </c>
      <c r="BP69" s="61">
        <f>IF(BN69=BQ$11,Volatilities_Resets!$AA58,IF(BN69&gt;=BP$11,IF(BN69&lt;BQ$11,(((Volatilities_Resets!$AA58-Volatilities_Resets!$Y58)/50)*((Calculator!BN69-Calculator!BP$11)*10000)+Volatilities_Resets!$Y58)),IF(BN69&gt;=BP$10,IF(BN69&lt;BQ$10,(((Volatilities_Resets!$Y58-Volatilities_Resets!$W58)/50)*((Calculator!BN69-Calculator!BP$10)*10000)+Volatilities_Resets!$W58)),IF(BN69&gt;=BP$9,IF(BN69&lt;BQ$9,(((Volatilities_Resets!$W58-Volatilities_Resets!$U58)/50)*((Calculator!BN69-Calculator!BP$9)*10000)+Volatilities_Resets!$U58)),IF(BN69&gt;=BP$8,IF(BN69&lt;BQ$8,(((Volatilities_Resets!$U58-Volatilities_Resets!$S58)/50)*((Calculator!BN69-Calculator!BP$8)*10000)+Volatilities_Resets!$S58)),IF(BN69&gt;=BP$7,IF(BN69&lt;BQ$7,(((Volatilities_Resets!$S58-Volatilities_Resets!$Q58)/50)*((Calculator!BN69-Calculator!BP$7)*10000)+Volatilities_Resets!$Q58)),IF(BN69&gt;=BP$6,IF(BN69&lt;BQ$6,(((Volatilities_Resets!$Q58-Volatilities_Resets!$O58)/50)*((Calculator!BN69-Calculator!BP$6)*10000)+Volatilities_Resets!$O58)),IF(BN69&gt;=BP$5,IF(BN69&lt;BQ$5,(((Volatilities_Resets!$O58-Volatilities_Resets!$M58)/50)*((Calculator!BN69-Calculator!BP$5)*10000)+Volatilities_Resets!$M58)),IF(BN69&gt;=BP$4,IF(BN69&lt;BQ$4,(((Volatilities_Resets!$M58-Volatilities_Resets!$K58)/50)*((Calculator!BN69-Calculator!BP$4)*10000)+Volatilities_Resets!$K58)),IF(BN69&gt;=BP$3,IF(BN69&lt;BQ$3,(((Volatilities_Resets!$K58-Volatilities_Resets!$I58)/50)*((Calculator!BN69-Calculator!BP$3)*10000)+Volatilities_Resets!$I58)),IF(BN69&gt;=BP$2,IF(BN69&lt;BQ$2,(((Volatilities_Resets!$I58-Volatilities_Resets!$G58)/50)*((Calculator!BN69-Calculator!BP$2)*10000)+Volatilities_Resets!$G58)),"Well, something broke...")))))))))))/10000</f>
        <v>1.4494E-2</v>
      </c>
      <c r="BQ69" s="63">
        <f t="shared" ca="1" si="35"/>
        <v>8076.2250890926362</v>
      </c>
      <c r="BR69" s="63">
        <f t="shared" ca="1" si="36"/>
        <v>3.278977716459893E-4</v>
      </c>
      <c r="BS69" s="63">
        <f t="shared" ca="1" si="47"/>
        <v>420288.48535703792</v>
      </c>
      <c r="BV69" s="63">
        <f t="shared" ca="1" si="37"/>
        <v>104.09007586263687</v>
      </c>
      <c r="BW69" s="63">
        <f ca="1">SUM($BV$15:BV69)</f>
        <v>4422.0038502900397</v>
      </c>
      <c r="BY69" s="52">
        <f ca="1">EXP(-AVERAGE(BO$15:BO69)*BL69)</f>
        <v>0.85869296362475889</v>
      </c>
      <c r="CA69" s="52">
        <f t="shared" ca="1" si="38"/>
        <v>55</v>
      </c>
      <c r="CB69" s="71">
        <f t="shared" ca="1" si="39"/>
        <v>46653</v>
      </c>
      <c r="CC69" s="71">
        <f t="shared" ca="1" si="12"/>
        <v>46683</v>
      </c>
      <c r="CD69" s="72">
        <f t="shared" ca="1" si="13"/>
        <v>30</v>
      </c>
      <c r="CE69" s="73">
        <f ca="1">SUM(CD$15:CD69)/360</f>
        <v>4.6527777777777777</v>
      </c>
      <c r="CF69" s="74">
        <f t="shared" si="14"/>
        <v>25000000</v>
      </c>
      <c r="CG69" s="59">
        <f t="shared" si="40"/>
        <v>0.06</v>
      </c>
      <c r="CH69" s="57">
        <f>Volatilities_Resets!$E58*0.01</f>
        <v>2.83109E-2</v>
      </c>
      <c r="CI69" s="61">
        <f>IF(CG69=CJ$11,Volatilities_Resets!$AA58,IF(CG69&gt;=CI$11,IF(CG69&lt;CJ$11,(((Volatilities_Resets!$AA58-Volatilities_Resets!$Y58)/50)*((Calculator!CG69-Calculator!CI$11)*10000)+Volatilities_Resets!$Y58)),IF(CG69&gt;=CI$10,IF(CG69&lt;CJ$10,(((Volatilities_Resets!$Y58-Volatilities_Resets!$W58)/50)*((Calculator!CG69-Calculator!CI$10)*10000)+Volatilities_Resets!$W58)),IF(CG69&gt;=CI$9,IF(CG69&lt;CJ$9,(((Volatilities_Resets!$W58-Volatilities_Resets!$U58)/50)*((Calculator!CG69-Calculator!CI$9)*10000)+Volatilities_Resets!$U58)),IF(CG69&gt;=CI$8,IF(CG69&lt;CJ$8,(((Volatilities_Resets!$U58-Volatilities_Resets!$S58)/50)*((Calculator!CG69-Calculator!CI$8)*10000)+Volatilities_Resets!$S58)),IF(CG69&gt;=CI$7,IF(CG69&lt;CJ$7,(((Volatilities_Resets!$S58-Volatilities_Resets!$Q58)/50)*((Calculator!CG69-Calculator!CI$7)*10000)+Volatilities_Resets!$Q58)),IF(CG69&gt;=CI$6,IF(CG69&lt;CJ$6,(((Volatilities_Resets!$Q58-Volatilities_Resets!$O58)/50)*((Calculator!CG69-Calculator!CI$6)*10000)+Volatilities_Resets!$O58)),IF(CG69&gt;=CI$5,IF(CG69&lt;CJ$5,(((Volatilities_Resets!$O58-Volatilities_Resets!$M58)/50)*((Calculator!CG69-Calculator!CI$5)*10000)+Volatilities_Resets!$M58)),IF(CG69&gt;=CI$4,IF(CG69&lt;CJ$4,(((Volatilities_Resets!$M58-Volatilities_Resets!$K58)/50)*((Calculator!CG69-Calculator!CI$4)*10000)+Volatilities_Resets!$K58)),IF(CG69&gt;=CI$3,IF(CG69&lt;CJ$3,(((Volatilities_Resets!$K58-Volatilities_Resets!$I58)/50)*((Calculator!CG69-Calculator!CI$3)*10000)+Volatilities_Resets!$I58)),IF(CG69&gt;=CI$2,IF(CG69&lt;CJ$2,(((Volatilities_Resets!$I58-Volatilities_Resets!$G58)/50)*((Calculator!CG69-Calculator!CI$2)*10000)+Volatilities_Resets!$G58)),"Well, something broke...")))))))))))/10000</f>
        <v>1.5877000000000002E-2</v>
      </c>
      <c r="CJ69" s="63">
        <f t="shared" ca="1" si="41"/>
        <v>5872.8531023621263</v>
      </c>
      <c r="CK69" s="63">
        <f t="shared" ca="1" si="42"/>
        <v>2.389382130510412E-4</v>
      </c>
      <c r="CL69" s="63">
        <f t="shared" ca="1" si="48"/>
        <v>237323.67665984097</v>
      </c>
      <c r="CO69" s="63">
        <f t="shared" ca="1" si="43"/>
        <v>86.386421799871357</v>
      </c>
      <c r="CP69" s="63">
        <f ca="1">SUM($CO$15:CO69)</f>
        <v>3357.2455793718877</v>
      </c>
      <c r="CR69" s="52">
        <f ca="1">EXP(-AVERAGE(CH$15:CH69)*CE69)</f>
        <v>0.85869296362475889</v>
      </c>
      <c r="CT69"/>
      <c r="CU69"/>
      <c r="CV69"/>
      <c r="CW69"/>
      <c r="CX69"/>
      <c r="CY69"/>
      <c r="CZ69"/>
      <c r="DA69"/>
      <c r="DB69"/>
      <c r="DC69"/>
      <c r="DD69"/>
      <c r="DE69"/>
      <c r="DF69"/>
      <c r="DG69"/>
      <c r="DH69"/>
      <c r="DI69"/>
      <c r="DJ69"/>
      <c r="DK69"/>
      <c r="DL69"/>
    </row>
    <row r="70" spans="2:116" ht="15.75" customHeight="1">
      <c r="B70" s="52">
        <v>5</v>
      </c>
      <c r="C70" s="52">
        <f t="shared" ca="1" si="49"/>
        <v>56</v>
      </c>
      <c r="D70" s="71">
        <f t="shared" ca="1" si="16"/>
        <v>46683</v>
      </c>
      <c r="E70" s="71">
        <f t="shared" ca="1" si="50"/>
        <v>46714</v>
      </c>
      <c r="F70" s="72">
        <f t="shared" ca="1" si="51"/>
        <v>31</v>
      </c>
      <c r="G70" s="73">
        <f ca="1">SUM($F$15:F70)/360</f>
        <v>4.7388888888888889</v>
      </c>
      <c r="H70" s="74">
        <f t="shared" si="2"/>
        <v>25000000</v>
      </c>
      <c r="I70" s="59">
        <f>IF('Cap Pricer'!$E$22=DataValidation!$C$2,'Cap Pricer'!$E$23,IF('Cap Pricer'!$E$22=DataValidation!$C$3,VLOOKUP($B70,'Cap Pricer'!$C$25:$E$31,3),""))</f>
        <v>0.02</v>
      </c>
      <c r="J70" s="57">
        <f>Volatilities_Resets!$E59*0.01</f>
        <v>2.8314200000000001E-2</v>
      </c>
      <c r="K70" s="61">
        <f>IF(I70=L$11,Volatilities_Resets!$AA59,IF(I70&gt;=K$11,IF(I70&lt;L$11,(((Volatilities_Resets!$AA59-Volatilities_Resets!$Y59)/50)*((Calculator!I70-Calculator!K$11)*10000)+Volatilities_Resets!$Y59)),IF(I70&gt;=K$10,IF(I70&lt;L$10,(((Volatilities_Resets!$Y59-Volatilities_Resets!$W59)/50)*((Calculator!I70-Calculator!K$10)*10000)+Volatilities_Resets!$W59)),IF(I70&gt;=K$9,IF(I70&lt;L$9,(((Volatilities_Resets!$W59-Volatilities_Resets!$U59)/50)*((Calculator!I70-Calculator!K$9)*10000)+Volatilities_Resets!$U59)),IF(I70&gt;=K$8,IF(I70&lt;L$8,(((Volatilities_Resets!$U59-Volatilities_Resets!$S59)/50)*((Calculator!I70-Calculator!K$8)*10000)+Volatilities_Resets!$S59)),IF(I70&gt;=K$7,IF(I70&lt;L$7,(((Volatilities_Resets!$S59-Volatilities_Resets!$Q59)/50)*((Calculator!I70-Calculator!K$7)*10000)+Volatilities_Resets!$Q59)),IF(I70&gt;=K$6,IF(I70&lt;L$6,(((Volatilities_Resets!$Q59-Volatilities_Resets!$O59)/50)*((Calculator!I70-Calculator!K$6)*10000)+Volatilities_Resets!$O59)),IF(I70&gt;=K$5,IF(I70&lt;L$5,(((Volatilities_Resets!$O59-Volatilities_Resets!$M59)/50)*((Calculator!I70-Calculator!K$5)*10000)+Volatilities_Resets!$M59)),IF(I70&gt;=K$4,IF(I70&lt;L$4,(((Volatilities_Resets!$M59-Volatilities_Resets!$K59)/50)*((Calculator!I70-Calculator!K$4)*10000)+Volatilities_Resets!$K59)),IF(I70&gt;=K$3,IF(I70&lt;L$3,(((Volatilities_Resets!$K59-Volatilities_Resets!$I59)/50)*((Calculator!I70-Calculator!K$3)*10000)+Volatilities_Resets!$I59)),IF(I70&gt;=K$2,IF(I70&lt;L$2,(((Volatilities_Resets!$I59-Volatilities_Resets!$G59)/50)*((Calculator!I70-Calculator!K$2)*10000)+Volatilities_Resets!$G59)),"Well, something broke...")))))))))))/10000</f>
        <v>1.2354E-2</v>
      </c>
      <c r="L70" s="47">
        <f t="shared" ca="1" si="17"/>
        <v>28388.747133705605</v>
      </c>
      <c r="M70" s="63">
        <f t="shared" ca="1" si="18"/>
        <v>1.1416592529289199E-3</v>
      </c>
      <c r="N70" s="63">
        <f t="shared" ca="1" si="44"/>
        <v>1982387.5220902709</v>
      </c>
      <c r="Q70" s="63">
        <f t="shared" ca="1" si="19"/>
        <v>130.83153123781062</v>
      </c>
      <c r="R70" s="63">
        <f ca="1">SUM($Q$15:Q70)</f>
        <v>5055.0144873802665</v>
      </c>
      <c r="T70" s="52">
        <f ca="1">EXP(-AVERAGE(J$15:J70)*G70)</f>
        <v>0.85659623199762935</v>
      </c>
      <c r="U70" s="57"/>
      <c r="V70" s="52">
        <f t="shared" ca="1" si="20"/>
        <v>56</v>
      </c>
      <c r="W70" s="71">
        <f t="shared" ca="1" si="21"/>
        <v>46683</v>
      </c>
      <c r="X70" s="71">
        <f t="shared" ca="1" si="3"/>
        <v>46714</v>
      </c>
      <c r="Y70" s="72">
        <f t="shared" ca="1" si="4"/>
        <v>31</v>
      </c>
      <c r="Z70" s="73">
        <f ca="1">SUM(Y$15:Y70)/360</f>
        <v>4.7388888888888889</v>
      </c>
      <c r="AA70" s="74">
        <f t="shared" si="22"/>
        <v>25000000</v>
      </c>
      <c r="AB70" s="59">
        <f t="shared" si="23"/>
        <v>0.03</v>
      </c>
      <c r="AC70" s="57">
        <f>Volatilities_Resets!$E59*0.01</f>
        <v>2.8314200000000001E-2</v>
      </c>
      <c r="AD70" s="61">
        <f>IF(AB70=AE$11,Volatilities_Resets!$AA59,IF(AB70&gt;=AD$11,IF(AB70&lt;AE$11,(((Volatilities_Resets!$AA59-Volatilities_Resets!$Y59)/50)*((Calculator!AB70-Calculator!AD$11)*10000)+Volatilities_Resets!$Y59)),IF(AB70&gt;=AD$10,IF(AB70&lt;AE$10,(((Volatilities_Resets!$Y59-Volatilities_Resets!$W59)/50)*((Calculator!AB70-Calculator!AD$10)*10000)+Volatilities_Resets!$W59)),IF(AB70&gt;=AD$9,IF(AB70&lt;AE$9,(((Volatilities_Resets!$W59-Volatilities_Resets!$U59)/50)*((Calculator!AB70-Calculator!AD$9)*10000)+Volatilities_Resets!$U59)),IF(AB70&gt;=AD$8,IF(AB70&lt;AE$8,(((Volatilities_Resets!$U59-Volatilities_Resets!$S59)/50)*((Calculator!AB70-Calculator!AD$8)*10000)+Volatilities_Resets!$S59)),IF(AB70&gt;=AD$7,IF(AB70&lt;AE$7,(((Volatilities_Resets!$S59-Volatilities_Resets!$Q59)/50)*((Calculator!AB70-Calculator!AD$7)*10000)+Volatilities_Resets!$Q59)),IF(AB70&gt;=AD$6,IF(AB70&lt;AE$6,(((Volatilities_Resets!$Q59-Volatilities_Resets!$O59)/50)*((Calculator!AB70-Calculator!AD$6)*10000)+Volatilities_Resets!$O59)),IF(AB70&gt;=AD$5,IF(AB70&lt;AE$5,(((Volatilities_Resets!$O59-Volatilities_Resets!$M59)/50)*((Calculator!AB70-Calculator!AD$5)*10000)+Volatilities_Resets!$M59)),IF(AB70&gt;=AD$4,IF(AB70&lt;AE$4,(((Volatilities_Resets!$M59-Volatilities_Resets!$K59)/50)*((Calculator!AB70-Calculator!AD$4)*10000)+Volatilities_Resets!$K59)),IF(AB70&gt;=AD$3,IF(AB70&lt;AE$3,(((Volatilities_Resets!$K59-Volatilities_Resets!$I59)/50)*((Calculator!AB70-Calculator!AD$3)*10000)+Volatilities_Resets!$I59)),IF(AB70&gt;=AD$2,IF(AB70&lt;AE$2,(((Volatilities_Resets!$I59-Volatilities_Resets!$G59)/50)*((Calculator!AB70-Calculator!AD$2)*10000)+Volatilities_Resets!$G59)),"Well, something broke...")))))))))))/10000</f>
        <v>1.2579E-2</v>
      </c>
      <c r="AE70" s="63">
        <f t="shared" ca="1" si="24"/>
        <v>18628.921630029476</v>
      </c>
      <c r="AF70" s="63">
        <f t="shared" ca="1" si="25"/>
        <v>7.5155078488677507E-4</v>
      </c>
      <c r="AG70" s="63">
        <f t="shared" ca="1" si="45"/>
        <v>1307324.7818868994</v>
      </c>
      <c r="AJ70" s="63">
        <f t="shared" ca="1" si="26"/>
        <v>136.92518775942634</v>
      </c>
      <c r="AK70" s="63">
        <f ca="1">SUM($AJ$15:AJ70)</f>
        <v>5495.1197543091102</v>
      </c>
      <c r="AM70" s="52">
        <f ca="1">EXP(-AVERAGE(AC$15:AC70)*Z70)</f>
        <v>0.85659623199762935</v>
      </c>
      <c r="AO70" s="52">
        <f t="shared" ca="1" si="27"/>
        <v>56</v>
      </c>
      <c r="AP70" s="71">
        <f t="shared" ca="1" si="28"/>
        <v>46683</v>
      </c>
      <c r="AQ70" s="71">
        <f t="shared" ca="1" si="5"/>
        <v>46714</v>
      </c>
      <c r="AR70" s="72">
        <f t="shared" ca="1" si="6"/>
        <v>31</v>
      </c>
      <c r="AS70" s="73">
        <f ca="1">SUM(AR$15:AR70)/360</f>
        <v>4.7388888888888889</v>
      </c>
      <c r="AT70" s="74">
        <f t="shared" si="7"/>
        <v>25000000</v>
      </c>
      <c r="AU70" s="59">
        <f t="shared" si="29"/>
        <v>0.04</v>
      </c>
      <c r="AV70" s="57">
        <f>Volatilities_Resets!$E59*0.01</f>
        <v>2.8314200000000001E-2</v>
      </c>
      <c r="AW70" s="61">
        <f>IF(AU70=AX$11,Volatilities_Resets!$AA59,IF(AU70&gt;=AW$11,IF(AU70&lt;AX$11,(((Volatilities_Resets!$AA59-Volatilities_Resets!$Y59)/50)*((Calculator!AU70-Calculator!AW$11)*10000)+Volatilities_Resets!$Y59)),IF(AU70&gt;=AW$10,IF(AU70&lt;AX$10,(((Volatilities_Resets!$Y59-Volatilities_Resets!$W59)/50)*((Calculator!AU70-Calculator!AW$10)*10000)+Volatilities_Resets!$W59)),IF(AU70&gt;=AW$9,IF(AU70&lt;AX$9,(((Volatilities_Resets!$W59-Volatilities_Resets!$U59)/50)*((Calculator!AU70-Calculator!AW$9)*10000)+Volatilities_Resets!$U59)),IF(AU70&gt;=AW$8,IF(AU70&lt;AX$8,(((Volatilities_Resets!$U59-Volatilities_Resets!$S59)/50)*((Calculator!AU70-Calculator!AW$8)*10000)+Volatilities_Resets!$S59)),IF(AU70&gt;=AW$7,IF(AU70&lt;AX$7,(((Volatilities_Resets!$S59-Volatilities_Resets!$Q59)/50)*((Calculator!AU70-Calculator!AW$7)*10000)+Volatilities_Resets!$Q59)),IF(AU70&gt;=AW$6,IF(AU70&lt;AX$6,(((Volatilities_Resets!$Q59-Volatilities_Resets!$O59)/50)*((Calculator!AU70-Calculator!AW$6)*10000)+Volatilities_Resets!$O59)),IF(AU70&gt;=AW$5,IF(AU70&lt;AX$5,(((Volatilities_Resets!$O59-Volatilities_Resets!$M59)/50)*((Calculator!AU70-Calculator!AW$5)*10000)+Volatilities_Resets!$M59)),IF(AU70&gt;=AW$4,IF(AU70&lt;AX$4,(((Volatilities_Resets!$M59-Volatilities_Resets!$K59)/50)*((Calculator!AU70-Calculator!AW$4)*10000)+Volatilities_Resets!$K59)),IF(AU70&gt;=AW$3,IF(AU70&lt;AX$3,(((Volatilities_Resets!$K59-Volatilities_Resets!$I59)/50)*((Calculator!AU70-Calculator!AW$3)*10000)+Volatilities_Resets!$I59)),IF(AU70&gt;=AW$2,IF(AU70&lt;AX$2,(((Volatilities_Resets!$I59-Volatilities_Resets!$G59)/50)*((Calculator!AU70-Calculator!AW$2)*10000)+Volatilities_Resets!$G59)),"Well, something broke...")))))))))))/10000</f>
        <v>1.3337E-2</v>
      </c>
      <c r="AX70" s="63">
        <f t="shared" ca="1" si="30"/>
        <v>12291.514225152872</v>
      </c>
      <c r="AY70" s="63">
        <f t="shared" ca="1" si="31"/>
        <v>4.9757165020344538E-4</v>
      </c>
      <c r="AZ70" s="63">
        <f t="shared" ca="1" si="46"/>
        <v>791196.31441446464</v>
      </c>
      <c r="BC70" s="63">
        <f t="shared" ca="1" si="8"/>
        <v>126.58524701663312</v>
      </c>
      <c r="BD70" s="63">
        <f ca="1">SUM($BC$15:BC70)</f>
        <v>5281.4262018785384</v>
      </c>
      <c r="BF70" s="52">
        <f ca="1">EXP(-AVERAGE(AV$15:AV70)*AS70)</f>
        <v>0.85659623199762935</v>
      </c>
      <c r="BH70" s="52">
        <f t="shared" ca="1" si="32"/>
        <v>56</v>
      </c>
      <c r="BI70" s="71">
        <f t="shared" ca="1" si="33"/>
        <v>46683</v>
      </c>
      <c r="BJ70" s="71">
        <f t="shared" ca="1" si="9"/>
        <v>46714</v>
      </c>
      <c r="BK70" s="72">
        <f t="shared" ca="1" si="10"/>
        <v>31</v>
      </c>
      <c r="BL70" s="73">
        <f ca="1">SUM(BK$15:BK70)/360</f>
        <v>4.7388888888888889</v>
      </c>
      <c r="BM70" s="74">
        <f t="shared" si="11"/>
        <v>25000000</v>
      </c>
      <c r="BN70" s="59">
        <f t="shared" si="34"/>
        <v>0.05</v>
      </c>
      <c r="BO70" s="57">
        <f>Volatilities_Resets!$E59*0.01</f>
        <v>2.8314200000000001E-2</v>
      </c>
      <c r="BP70" s="61">
        <f>IF(BN70=BQ$11,Volatilities_Resets!$AA59,IF(BN70&gt;=BP$11,IF(BN70&lt;BQ$11,(((Volatilities_Resets!$AA59-Volatilities_Resets!$Y59)/50)*((Calculator!BN70-Calculator!BP$11)*10000)+Volatilities_Resets!$Y59)),IF(BN70&gt;=BP$10,IF(BN70&lt;BQ$10,(((Volatilities_Resets!$Y59-Volatilities_Resets!$W59)/50)*((Calculator!BN70-Calculator!BP$10)*10000)+Volatilities_Resets!$W59)),IF(BN70&gt;=BP$9,IF(BN70&lt;BQ$9,(((Volatilities_Resets!$W59-Volatilities_Resets!$U59)/50)*((Calculator!BN70-Calculator!BP$9)*10000)+Volatilities_Resets!$U59)),IF(BN70&gt;=BP$8,IF(BN70&lt;BQ$8,(((Volatilities_Resets!$U59-Volatilities_Resets!$S59)/50)*((Calculator!BN70-Calculator!BP$8)*10000)+Volatilities_Resets!$S59)),IF(BN70&gt;=BP$7,IF(BN70&lt;BQ$7,(((Volatilities_Resets!$S59-Volatilities_Resets!$Q59)/50)*((Calculator!BN70-Calculator!BP$7)*10000)+Volatilities_Resets!$Q59)),IF(BN70&gt;=BP$6,IF(BN70&lt;BQ$6,(((Volatilities_Resets!$Q59-Volatilities_Resets!$O59)/50)*((Calculator!BN70-Calculator!BP$6)*10000)+Volatilities_Resets!$O59)),IF(BN70&gt;=BP$5,IF(BN70&lt;BQ$5,(((Volatilities_Resets!$O59-Volatilities_Resets!$M59)/50)*((Calculator!BN70-Calculator!BP$5)*10000)+Volatilities_Resets!$M59)),IF(BN70&gt;=BP$4,IF(BN70&lt;BQ$4,(((Volatilities_Resets!$M59-Volatilities_Resets!$K59)/50)*((Calculator!BN70-Calculator!BP$4)*10000)+Volatilities_Resets!$K59)),IF(BN70&gt;=BP$3,IF(BN70&lt;BQ$3,(((Volatilities_Resets!$K59-Volatilities_Resets!$I59)/50)*((Calculator!BN70-Calculator!BP$3)*10000)+Volatilities_Resets!$I59)),IF(BN70&gt;=BP$2,IF(BN70&lt;BQ$2,(((Volatilities_Resets!$I59-Volatilities_Resets!$G59)/50)*((Calculator!BN70-Calculator!BP$2)*10000)+Volatilities_Resets!$G59)),"Well, something broke...")))))))))))/10000</f>
        <v>1.4494999999999999E-2</v>
      </c>
      <c r="BQ70" s="63">
        <f t="shared" ca="1" si="35"/>
        <v>8494.7319760430873</v>
      </c>
      <c r="BR70" s="63">
        <f t="shared" ca="1" si="36"/>
        <v>3.4485595626086713E-4</v>
      </c>
      <c r="BS70" s="63">
        <f t="shared" ca="1" si="47"/>
        <v>428783.217333081</v>
      </c>
      <c r="BV70" s="63">
        <f t="shared" ca="1" si="37"/>
        <v>108.50241536666657</v>
      </c>
      <c r="BW70" s="63">
        <f ca="1">SUM($BV$15:BV70)</f>
        <v>4530.5062656567061</v>
      </c>
      <c r="BY70" s="52">
        <f ca="1">EXP(-AVERAGE(BO$15:BO70)*BL70)</f>
        <v>0.85659623199762935</v>
      </c>
      <c r="CA70" s="52">
        <f t="shared" ca="1" si="38"/>
        <v>56</v>
      </c>
      <c r="CB70" s="71">
        <f t="shared" ca="1" si="39"/>
        <v>46683</v>
      </c>
      <c r="CC70" s="71">
        <f t="shared" ca="1" si="12"/>
        <v>46714</v>
      </c>
      <c r="CD70" s="72">
        <f t="shared" ca="1" si="13"/>
        <v>31</v>
      </c>
      <c r="CE70" s="73">
        <f ca="1">SUM(CD$15:CD70)/360</f>
        <v>4.7388888888888889</v>
      </c>
      <c r="CF70" s="74">
        <f t="shared" si="14"/>
        <v>25000000</v>
      </c>
      <c r="CG70" s="59">
        <f t="shared" si="40"/>
        <v>0.06</v>
      </c>
      <c r="CH70" s="57">
        <f>Volatilities_Resets!$E59*0.01</f>
        <v>2.8314200000000001E-2</v>
      </c>
      <c r="CI70" s="61">
        <f>IF(CG70=CJ$11,Volatilities_Resets!$AA59,IF(CG70&gt;=CI$11,IF(CG70&lt;CJ$11,(((Volatilities_Resets!$AA59-Volatilities_Resets!$Y59)/50)*((Calculator!CG70-Calculator!CI$11)*10000)+Volatilities_Resets!$Y59)),IF(CG70&gt;=CI$10,IF(CG70&lt;CJ$10,(((Volatilities_Resets!$Y59-Volatilities_Resets!$W59)/50)*((Calculator!CG70-Calculator!CI$10)*10000)+Volatilities_Resets!$W59)),IF(CG70&gt;=CI$9,IF(CG70&lt;CJ$9,(((Volatilities_Resets!$W59-Volatilities_Resets!$U59)/50)*((Calculator!CG70-Calculator!CI$9)*10000)+Volatilities_Resets!$U59)),IF(CG70&gt;=CI$8,IF(CG70&lt;CJ$8,(((Volatilities_Resets!$U59-Volatilities_Resets!$S59)/50)*((Calculator!CG70-Calculator!CI$8)*10000)+Volatilities_Resets!$S59)),IF(CG70&gt;=CI$7,IF(CG70&lt;CJ$7,(((Volatilities_Resets!$S59-Volatilities_Resets!$Q59)/50)*((Calculator!CG70-Calculator!CI$7)*10000)+Volatilities_Resets!$Q59)),IF(CG70&gt;=CI$6,IF(CG70&lt;CJ$6,(((Volatilities_Resets!$Q59-Volatilities_Resets!$O59)/50)*((Calculator!CG70-Calculator!CI$6)*10000)+Volatilities_Resets!$O59)),IF(CG70&gt;=CI$5,IF(CG70&lt;CJ$5,(((Volatilities_Resets!$O59-Volatilities_Resets!$M59)/50)*((Calculator!CG70-Calculator!CI$5)*10000)+Volatilities_Resets!$M59)),IF(CG70&gt;=CI$4,IF(CG70&lt;CJ$4,(((Volatilities_Resets!$M59-Volatilities_Resets!$K59)/50)*((Calculator!CG70-Calculator!CI$4)*10000)+Volatilities_Resets!$K59)),IF(CG70&gt;=CI$3,IF(CG70&lt;CJ$3,(((Volatilities_Resets!$K59-Volatilities_Resets!$I59)/50)*((Calculator!CG70-Calculator!CI$3)*10000)+Volatilities_Resets!$I59)),IF(CG70&gt;=CI$2,IF(CG70&lt;CJ$2,(((Volatilities_Resets!$I59-Volatilities_Resets!$G59)/50)*((Calculator!CG70-Calculator!CI$2)*10000)+Volatilities_Resets!$G59)),"Well, something broke...")))))))))))/10000</f>
        <v>1.5877000000000002E-2</v>
      </c>
      <c r="CJ70" s="63">
        <f t="shared" ca="1" si="41"/>
        <v>6206.7380301043395</v>
      </c>
      <c r="CK70" s="63">
        <f t="shared" ca="1" si="42"/>
        <v>2.5248865562853409E-4</v>
      </c>
      <c r="CL70" s="63">
        <f t="shared" ca="1" si="48"/>
        <v>243530.41468994532</v>
      </c>
      <c r="CO70" s="63">
        <f t="shared" ca="1" si="43"/>
        <v>90.352366254967265</v>
      </c>
      <c r="CP70" s="63">
        <f ca="1">SUM($CO$15:CO70)</f>
        <v>3447.5979456268551</v>
      </c>
      <c r="CR70" s="52">
        <f ca="1">EXP(-AVERAGE(CH$15:CH70)*CE70)</f>
        <v>0.85659623199762935</v>
      </c>
      <c r="CT70"/>
      <c r="CU70"/>
      <c r="CV70"/>
      <c r="CW70"/>
      <c r="CX70"/>
      <c r="CY70"/>
      <c r="CZ70"/>
      <c r="DA70"/>
      <c r="DB70"/>
      <c r="DC70"/>
      <c r="DD70"/>
      <c r="DE70"/>
      <c r="DF70"/>
      <c r="DG70"/>
      <c r="DH70"/>
      <c r="DI70"/>
      <c r="DJ70"/>
      <c r="DK70"/>
      <c r="DL70"/>
    </row>
    <row r="71" spans="2:116" ht="15.75" customHeight="1">
      <c r="B71" s="52">
        <v>5</v>
      </c>
      <c r="C71" s="52">
        <f t="shared" ca="1" si="49"/>
        <v>57</v>
      </c>
      <c r="D71" s="71">
        <f t="shared" ca="1" si="16"/>
        <v>46714</v>
      </c>
      <c r="E71" s="71">
        <f t="shared" ca="1" si="50"/>
        <v>46744</v>
      </c>
      <c r="F71" s="72">
        <f t="shared" ca="1" si="51"/>
        <v>30</v>
      </c>
      <c r="G71" s="73">
        <f ca="1">SUM($F$15:F71)/360</f>
        <v>4.822222222222222</v>
      </c>
      <c r="H71" s="74">
        <f t="shared" si="2"/>
        <v>25000000</v>
      </c>
      <c r="I71" s="59">
        <f>IF('Cap Pricer'!$E$22=DataValidation!$C$2,'Cap Pricer'!$E$23,IF('Cap Pricer'!$E$22=DataValidation!$C$3,VLOOKUP($B71,'Cap Pricer'!$C$25:$E$31,3),""))</f>
        <v>0.02</v>
      </c>
      <c r="J71" s="57">
        <f>Volatilities_Resets!$E60*0.01</f>
        <v>2.8312E-2</v>
      </c>
      <c r="K71" s="61">
        <f>IF(I71=L$11,Volatilities_Resets!$AA60,IF(I71&gt;=K$11,IF(I71&lt;L$11,(((Volatilities_Resets!$AA60-Volatilities_Resets!$Y60)/50)*((Calculator!I71-Calculator!K$11)*10000)+Volatilities_Resets!$Y60)),IF(I71&gt;=K$10,IF(I71&lt;L$10,(((Volatilities_Resets!$Y60-Volatilities_Resets!$W60)/50)*((Calculator!I71-Calculator!K$10)*10000)+Volatilities_Resets!$W60)),IF(I71&gt;=K$9,IF(I71&lt;L$9,(((Volatilities_Resets!$W60-Volatilities_Resets!$U60)/50)*((Calculator!I71-Calculator!K$9)*10000)+Volatilities_Resets!$U60)),IF(I71&gt;=K$8,IF(I71&lt;L$8,(((Volatilities_Resets!$U60-Volatilities_Resets!$S60)/50)*((Calculator!I71-Calculator!K$8)*10000)+Volatilities_Resets!$S60)),IF(I71&gt;=K$7,IF(I71&lt;L$7,(((Volatilities_Resets!$S60-Volatilities_Resets!$Q60)/50)*((Calculator!I71-Calculator!K$7)*10000)+Volatilities_Resets!$Q60)),IF(I71&gt;=K$6,IF(I71&lt;L$6,(((Volatilities_Resets!$Q60-Volatilities_Resets!$O60)/50)*((Calculator!I71-Calculator!K$6)*10000)+Volatilities_Resets!$O60)),IF(I71&gt;=K$5,IF(I71&lt;L$5,(((Volatilities_Resets!$O60-Volatilities_Resets!$M60)/50)*((Calculator!I71-Calculator!K$5)*10000)+Volatilities_Resets!$M60)),IF(I71&gt;=K$4,IF(I71&lt;L$4,(((Volatilities_Resets!$M60-Volatilities_Resets!$K60)/50)*((Calculator!I71-Calculator!K$4)*10000)+Volatilities_Resets!$K60)),IF(I71&gt;=K$3,IF(I71&lt;L$3,(((Volatilities_Resets!$K60-Volatilities_Resets!$I60)/50)*((Calculator!I71-Calculator!K$3)*10000)+Volatilities_Resets!$I60)),IF(I71&gt;=K$2,IF(I71&lt;L$2,(((Volatilities_Resets!$I60-Volatilities_Resets!$G60)/50)*((Calculator!I71-Calculator!K$2)*10000)+Volatilities_Resets!$G60)),"Well, something broke...")))))))))))/10000</f>
        <v>1.2354E-2</v>
      </c>
      <c r="L71" s="47">
        <f t="shared" ca="1" si="17"/>
        <v>27565.44225553457</v>
      </c>
      <c r="M71" s="63">
        <f t="shared" ca="1" si="18"/>
        <v>1.1085727399397522E-3</v>
      </c>
      <c r="N71" s="63">
        <f t="shared" ca="1" si="44"/>
        <v>2009952.9643458053</v>
      </c>
      <c r="Q71" s="63">
        <f t="shared" ca="1" si="19"/>
        <v>127.2270065855634</v>
      </c>
      <c r="R71" s="63">
        <f ca="1">SUM($Q$15:Q71)</f>
        <v>5182.2414939658302</v>
      </c>
      <c r="T71" s="52">
        <f ca="1">EXP(-AVERAGE(J$15:J71)*G71)</f>
        <v>0.8545823299718881</v>
      </c>
      <c r="U71" s="57"/>
      <c r="V71" s="52">
        <f t="shared" ca="1" si="20"/>
        <v>57</v>
      </c>
      <c r="W71" s="71">
        <f t="shared" ca="1" si="21"/>
        <v>46714</v>
      </c>
      <c r="X71" s="71">
        <f t="shared" ca="1" si="3"/>
        <v>46744</v>
      </c>
      <c r="Y71" s="72">
        <f t="shared" ca="1" si="4"/>
        <v>30</v>
      </c>
      <c r="Z71" s="73">
        <f ca="1">SUM(Y$15:Y71)/360</f>
        <v>4.822222222222222</v>
      </c>
      <c r="AA71" s="74">
        <f t="shared" si="22"/>
        <v>25000000</v>
      </c>
      <c r="AB71" s="59">
        <f t="shared" si="23"/>
        <v>0.03</v>
      </c>
      <c r="AC71" s="57">
        <f>Volatilities_Resets!$E60*0.01</f>
        <v>2.8312E-2</v>
      </c>
      <c r="AD71" s="61">
        <f>IF(AB71=AE$11,Volatilities_Resets!$AA60,IF(AB71&gt;=AD$11,IF(AB71&lt;AE$11,(((Volatilities_Resets!$AA60-Volatilities_Resets!$Y60)/50)*((Calculator!AB71-Calculator!AD$11)*10000)+Volatilities_Resets!$Y60)),IF(AB71&gt;=AD$10,IF(AB71&lt;AE$10,(((Volatilities_Resets!$Y60-Volatilities_Resets!$W60)/50)*((Calculator!AB71-Calculator!AD$10)*10000)+Volatilities_Resets!$W60)),IF(AB71&gt;=AD$9,IF(AB71&lt;AE$9,(((Volatilities_Resets!$W60-Volatilities_Resets!$U60)/50)*((Calculator!AB71-Calculator!AD$9)*10000)+Volatilities_Resets!$U60)),IF(AB71&gt;=AD$8,IF(AB71&lt;AE$8,(((Volatilities_Resets!$U60-Volatilities_Resets!$S60)/50)*((Calculator!AB71-Calculator!AD$8)*10000)+Volatilities_Resets!$S60)),IF(AB71&gt;=AD$7,IF(AB71&lt;AE$7,(((Volatilities_Resets!$S60-Volatilities_Resets!$Q60)/50)*((Calculator!AB71-Calculator!AD$7)*10000)+Volatilities_Resets!$Q60)),IF(AB71&gt;=AD$6,IF(AB71&lt;AE$6,(((Volatilities_Resets!$Q60-Volatilities_Resets!$O60)/50)*((Calculator!AB71-Calculator!AD$6)*10000)+Volatilities_Resets!$O60)),IF(AB71&gt;=AD$5,IF(AB71&lt;AE$5,(((Volatilities_Resets!$O60-Volatilities_Resets!$M60)/50)*((Calculator!AB71-Calculator!AD$5)*10000)+Volatilities_Resets!$M60)),IF(AB71&gt;=AD$4,IF(AB71&lt;AE$4,(((Volatilities_Resets!$M60-Volatilities_Resets!$K60)/50)*((Calculator!AB71-Calculator!AD$4)*10000)+Volatilities_Resets!$K60)),IF(AB71&gt;=AD$3,IF(AB71&lt;AE$3,(((Volatilities_Resets!$K60-Volatilities_Resets!$I60)/50)*((Calculator!AB71-Calculator!AD$3)*10000)+Volatilities_Resets!$I60)),IF(AB71&gt;=AD$2,IF(AB71&lt;AE$2,(((Volatilities_Resets!$I60-Volatilities_Resets!$G60)/50)*((Calculator!AB71-Calculator!AD$2)*10000)+Volatilities_Resets!$G60)),"Well, something broke...")))))))))))/10000</f>
        <v>1.2579E-2</v>
      </c>
      <c r="AE71" s="63">
        <f t="shared" ca="1" si="24"/>
        <v>18153.685226695074</v>
      </c>
      <c r="AF71" s="63">
        <f t="shared" ca="1" si="25"/>
        <v>7.3237473860366764E-4</v>
      </c>
      <c r="AG71" s="63">
        <f t="shared" ca="1" si="45"/>
        <v>1325478.4671135945</v>
      </c>
      <c r="AJ71" s="63">
        <f t="shared" ca="1" si="26"/>
        <v>133.04414460654959</v>
      </c>
      <c r="AK71" s="63">
        <f ca="1">SUM($AJ$15:AJ71)</f>
        <v>5628.16389891566</v>
      </c>
      <c r="AM71" s="52">
        <f ca="1">EXP(-AVERAGE(AC$15:AC71)*Z71)</f>
        <v>0.8545823299718881</v>
      </c>
      <c r="AO71" s="52">
        <f t="shared" ca="1" si="27"/>
        <v>57</v>
      </c>
      <c r="AP71" s="71">
        <f t="shared" ca="1" si="28"/>
        <v>46714</v>
      </c>
      <c r="AQ71" s="71">
        <f t="shared" ca="1" si="5"/>
        <v>46744</v>
      </c>
      <c r="AR71" s="72">
        <f t="shared" ca="1" si="6"/>
        <v>30</v>
      </c>
      <c r="AS71" s="73">
        <f ca="1">SUM(AR$15:AR71)/360</f>
        <v>4.822222222222222</v>
      </c>
      <c r="AT71" s="74">
        <f t="shared" si="7"/>
        <v>25000000</v>
      </c>
      <c r="AU71" s="59">
        <f t="shared" si="29"/>
        <v>0.04</v>
      </c>
      <c r="AV71" s="57">
        <f>Volatilities_Resets!$E60*0.01</f>
        <v>2.8312E-2</v>
      </c>
      <c r="AW71" s="61">
        <f>IF(AU71=AX$11,Volatilities_Resets!$AA60,IF(AU71&gt;=AW$11,IF(AU71&lt;AX$11,(((Volatilities_Resets!$AA60-Volatilities_Resets!$Y60)/50)*((Calculator!AU71-Calculator!AW$11)*10000)+Volatilities_Resets!$Y60)),IF(AU71&gt;=AW$10,IF(AU71&lt;AX$10,(((Volatilities_Resets!$Y60-Volatilities_Resets!$W60)/50)*((Calculator!AU71-Calculator!AW$10)*10000)+Volatilities_Resets!$W60)),IF(AU71&gt;=AW$9,IF(AU71&lt;AX$9,(((Volatilities_Resets!$W60-Volatilities_Resets!$U60)/50)*((Calculator!AU71-Calculator!AW$9)*10000)+Volatilities_Resets!$U60)),IF(AU71&gt;=AW$8,IF(AU71&lt;AX$8,(((Volatilities_Resets!$U60-Volatilities_Resets!$S60)/50)*((Calculator!AU71-Calculator!AW$8)*10000)+Volatilities_Resets!$S60)),IF(AU71&gt;=AW$7,IF(AU71&lt;AX$7,(((Volatilities_Resets!$S60-Volatilities_Resets!$Q60)/50)*((Calculator!AU71-Calculator!AW$7)*10000)+Volatilities_Resets!$Q60)),IF(AU71&gt;=AW$6,IF(AU71&lt;AX$6,(((Volatilities_Resets!$Q60-Volatilities_Resets!$O60)/50)*((Calculator!AU71-Calculator!AW$6)*10000)+Volatilities_Resets!$O60)),IF(AU71&gt;=AW$5,IF(AU71&lt;AX$5,(((Volatilities_Resets!$O60-Volatilities_Resets!$M60)/50)*((Calculator!AU71-Calculator!AW$5)*10000)+Volatilities_Resets!$M60)),IF(AU71&gt;=AW$4,IF(AU71&lt;AX$4,(((Volatilities_Resets!$M60-Volatilities_Resets!$K60)/50)*((Calculator!AU71-Calculator!AW$4)*10000)+Volatilities_Resets!$K60)),IF(AU71&gt;=AW$3,IF(AU71&lt;AX$3,(((Volatilities_Resets!$K60-Volatilities_Resets!$I60)/50)*((Calculator!AU71-Calculator!AW$3)*10000)+Volatilities_Resets!$I60)),IF(AU71&gt;=AW$2,IF(AU71&lt;AX$2,(((Volatilities_Resets!$I60-Volatilities_Resets!$G60)/50)*((Calculator!AU71-Calculator!AW$2)*10000)+Volatilities_Resets!$G60)),"Well, something broke...")))))))))))/10000</f>
        <v>1.3337E-2</v>
      </c>
      <c r="AX71" s="63">
        <f t="shared" ca="1" si="30"/>
        <v>12032.29168821167</v>
      </c>
      <c r="AY71" s="63">
        <f t="shared" ca="1" si="31"/>
        <v>4.8705641198935E-4</v>
      </c>
      <c r="AZ71" s="63">
        <f t="shared" ca="1" si="46"/>
        <v>803228.60610267636</v>
      </c>
      <c r="BC71" s="63">
        <f t="shared" ca="1" si="8"/>
        <v>123.16121882685236</v>
      </c>
      <c r="BD71" s="63">
        <f ca="1">SUM($BC$15:BC71)</f>
        <v>5404.5874207053912</v>
      </c>
      <c r="BF71" s="52">
        <f ca="1">EXP(-AVERAGE(AV$15:AV71)*AS71)</f>
        <v>0.8545823299718881</v>
      </c>
      <c r="BH71" s="52">
        <f t="shared" ca="1" si="32"/>
        <v>57</v>
      </c>
      <c r="BI71" s="71">
        <f t="shared" ca="1" si="33"/>
        <v>46714</v>
      </c>
      <c r="BJ71" s="71">
        <f t="shared" ca="1" si="9"/>
        <v>46744</v>
      </c>
      <c r="BK71" s="72">
        <f t="shared" ca="1" si="10"/>
        <v>30</v>
      </c>
      <c r="BL71" s="73">
        <f ca="1">SUM(BK$15:BK71)/360</f>
        <v>4.822222222222222</v>
      </c>
      <c r="BM71" s="74">
        <f t="shared" si="11"/>
        <v>25000000</v>
      </c>
      <c r="BN71" s="59">
        <f t="shared" si="34"/>
        <v>0.05</v>
      </c>
      <c r="BO71" s="57">
        <f>Volatilities_Resets!$E60*0.01</f>
        <v>2.8312E-2</v>
      </c>
      <c r="BP71" s="61">
        <f>IF(BN71=BQ$11,Volatilities_Resets!$AA60,IF(BN71&gt;=BP$11,IF(BN71&lt;BQ$11,(((Volatilities_Resets!$AA60-Volatilities_Resets!$Y60)/50)*((Calculator!BN71-Calculator!BP$11)*10000)+Volatilities_Resets!$Y60)),IF(BN71&gt;=BP$10,IF(BN71&lt;BQ$10,(((Volatilities_Resets!$Y60-Volatilities_Resets!$W60)/50)*((Calculator!BN71-Calculator!BP$10)*10000)+Volatilities_Resets!$W60)),IF(BN71&gt;=BP$9,IF(BN71&lt;BQ$9,(((Volatilities_Resets!$W60-Volatilities_Resets!$U60)/50)*((Calculator!BN71-Calculator!BP$9)*10000)+Volatilities_Resets!$U60)),IF(BN71&gt;=BP$8,IF(BN71&lt;BQ$8,(((Volatilities_Resets!$U60-Volatilities_Resets!$S60)/50)*((Calculator!BN71-Calculator!BP$8)*10000)+Volatilities_Resets!$S60)),IF(BN71&gt;=BP$7,IF(BN71&lt;BQ$7,(((Volatilities_Resets!$S60-Volatilities_Resets!$Q60)/50)*((Calculator!BN71-Calculator!BP$7)*10000)+Volatilities_Resets!$Q60)),IF(BN71&gt;=BP$6,IF(BN71&lt;BQ$6,(((Volatilities_Resets!$Q60-Volatilities_Resets!$O60)/50)*((Calculator!BN71-Calculator!BP$6)*10000)+Volatilities_Resets!$O60)),IF(BN71&gt;=BP$5,IF(BN71&lt;BQ$5,(((Volatilities_Resets!$O60-Volatilities_Resets!$M60)/50)*((Calculator!BN71-Calculator!BP$5)*10000)+Volatilities_Resets!$M60)),IF(BN71&gt;=BP$4,IF(BN71&lt;BQ$4,(((Volatilities_Resets!$M60-Volatilities_Resets!$K60)/50)*((Calculator!BN71-Calculator!BP$4)*10000)+Volatilities_Resets!$K60)),IF(BN71&gt;=BP$3,IF(BN71&lt;BQ$3,(((Volatilities_Resets!$K60-Volatilities_Resets!$I60)/50)*((Calculator!BN71-Calculator!BP$3)*10000)+Volatilities_Resets!$I60)),IF(BN71&gt;=BP$2,IF(BN71&lt;BQ$2,(((Volatilities_Resets!$I60-Volatilities_Resets!$G60)/50)*((Calculator!BN71-Calculator!BP$2)*10000)+Volatilities_Resets!$G60)),"Well, something broke...")))))))))))/10000</f>
        <v>1.4494999999999999E-2</v>
      </c>
      <c r="BQ71" s="63">
        <f t="shared" ca="1" si="35"/>
        <v>8355.6567790237605</v>
      </c>
      <c r="BR71" s="63">
        <f t="shared" ca="1" si="36"/>
        <v>3.3918061154953195E-4</v>
      </c>
      <c r="BS71" s="63">
        <f t="shared" ca="1" si="47"/>
        <v>437138.87411210476</v>
      </c>
      <c r="BV71" s="63">
        <f t="shared" ca="1" si="37"/>
        <v>105.84729381869559</v>
      </c>
      <c r="BW71" s="63">
        <f ca="1">SUM($BV$15:BV71)</f>
        <v>4636.3535594754021</v>
      </c>
      <c r="BY71" s="52">
        <f ca="1">EXP(-AVERAGE(BO$15:BO71)*BL71)</f>
        <v>0.8545823299718881</v>
      </c>
      <c r="CA71" s="52">
        <f t="shared" ca="1" si="38"/>
        <v>57</v>
      </c>
      <c r="CB71" s="71">
        <f t="shared" ca="1" si="39"/>
        <v>46714</v>
      </c>
      <c r="CC71" s="71">
        <f t="shared" ca="1" si="12"/>
        <v>46744</v>
      </c>
      <c r="CD71" s="72">
        <f t="shared" ca="1" si="13"/>
        <v>30</v>
      </c>
      <c r="CE71" s="73">
        <f ca="1">SUM(CD$15:CD71)/360</f>
        <v>4.822222222222222</v>
      </c>
      <c r="CF71" s="74">
        <f t="shared" si="14"/>
        <v>25000000</v>
      </c>
      <c r="CG71" s="59">
        <f t="shared" si="40"/>
        <v>0.06</v>
      </c>
      <c r="CH71" s="57">
        <f>Volatilities_Resets!$E60*0.01</f>
        <v>2.8312E-2</v>
      </c>
      <c r="CI71" s="61">
        <f>IF(CG71=CJ$11,Volatilities_Resets!$AA60,IF(CG71&gt;=CI$11,IF(CG71&lt;CJ$11,(((Volatilities_Resets!$AA60-Volatilities_Resets!$Y60)/50)*((Calculator!CG71-Calculator!CI$11)*10000)+Volatilities_Resets!$Y60)),IF(CG71&gt;=CI$10,IF(CG71&lt;CJ$10,(((Volatilities_Resets!$Y60-Volatilities_Resets!$W60)/50)*((Calculator!CG71-Calculator!CI$10)*10000)+Volatilities_Resets!$W60)),IF(CG71&gt;=CI$9,IF(CG71&lt;CJ$9,(((Volatilities_Resets!$W60-Volatilities_Resets!$U60)/50)*((Calculator!CG71-Calculator!CI$9)*10000)+Volatilities_Resets!$U60)),IF(CG71&gt;=CI$8,IF(CG71&lt;CJ$8,(((Volatilities_Resets!$U60-Volatilities_Resets!$S60)/50)*((Calculator!CG71-Calculator!CI$8)*10000)+Volatilities_Resets!$S60)),IF(CG71&gt;=CI$7,IF(CG71&lt;CJ$7,(((Volatilities_Resets!$S60-Volatilities_Resets!$Q60)/50)*((Calculator!CG71-Calculator!CI$7)*10000)+Volatilities_Resets!$Q60)),IF(CG71&gt;=CI$6,IF(CG71&lt;CJ$6,(((Volatilities_Resets!$Q60-Volatilities_Resets!$O60)/50)*((Calculator!CG71-Calculator!CI$6)*10000)+Volatilities_Resets!$O60)),IF(CG71&gt;=CI$5,IF(CG71&lt;CJ$5,(((Volatilities_Resets!$O60-Volatilities_Resets!$M60)/50)*((Calculator!CG71-Calculator!CI$5)*10000)+Volatilities_Resets!$M60)),IF(CG71&gt;=CI$4,IF(CG71&lt;CJ$4,(((Volatilities_Resets!$M60-Volatilities_Resets!$K60)/50)*((Calculator!CG71-Calculator!CI$4)*10000)+Volatilities_Resets!$K60)),IF(CG71&gt;=CI$3,IF(CG71&lt;CJ$3,(((Volatilities_Resets!$K60-Volatilities_Resets!$I60)/50)*((Calculator!CG71-Calculator!CI$3)*10000)+Volatilities_Resets!$I60)),IF(CG71&gt;=CI$2,IF(CG71&lt;CJ$2,(((Volatilities_Resets!$I60-Volatilities_Resets!$G60)/50)*((Calculator!CG71-Calculator!CI$2)*10000)+Volatilities_Resets!$G60)),"Well, something broke...")))))))))))/10000</f>
        <v>1.5877000000000002E-2</v>
      </c>
      <c r="CJ71" s="63">
        <f t="shared" ca="1" si="41"/>
        <v>6133.3731440272722</v>
      </c>
      <c r="CK71" s="63">
        <f t="shared" ca="1" si="42"/>
        <v>2.4947354400618835E-4</v>
      </c>
      <c r="CL71" s="63">
        <f t="shared" ca="1" si="48"/>
        <v>249663.7878339726</v>
      </c>
      <c r="CO71" s="63">
        <f t="shared" ca="1" si="43"/>
        <v>88.419750568989087</v>
      </c>
      <c r="CP71" s="63">
        <f ca="1">SUM($CO$15:CO71)</f>
        <v>3536.0176961958441</v>
      </c>
      <c r="CR71" s="52">
        <f ca="1">EXP(-AVERAGE(CH$15:CH71)*CE71)</f>
        <v>0.8545823299718881</v>
      </c>
      <c r="CT71"/>
      <c r="CU71"/>
      <c r="CV71"/>
      <c r="CW71"/>
      <c r="CX71"/>
      <c r="CY71"/>
      <c r="CZ71"/>
      <c r="DA71"/>
      <c r="DB71"/>
      <c r="DC71"/>
      <c r="DD71"/>
      <c r="DE71"/>
      <c r="DF71"/>
      <c r="DG71"/>
      <c r="DH71"/>
      <c r="DI71"/>
      <c r="DJ71"/>
      <c r="DK71"/>
      <c r="DL71"/>
    </row>
    <row r="72" spans="2:116" ht="15.75" customHeight="1">
      <c r="B72" s="52">
        <v>5</v>
      </c>
      <c r="C72" s="52">
        <f t="shared" ca="1" si="49"/>
        <v>58</v>
      </c>
      <c r="D72" s="71">
        <f t="shared" ca="1" si="16"/>
        <v>46744</v>
      </c>
      <c r="E72" s="71">
        <f t="shared" ca="1" si="50"/>
        <v>46775</v>
      </c>
      <c r="F72" s="72">
        <f t="shared" ca="1" si="51"/>
        <v>31</v>
      </c>
      <c r="G72" s="73">
        <f ca="1">SUM($F$15:F72)/360</f>
        <v>4.9083333333333332</v>
      </c>
      <c r="H72" s="74">
        <f t="shared" si="2"/>
        <v>25000000</v>
      </c>
      <c r="I72" s="59">
        <f>IF('Cap Pricer'!$E$22=DataValidation!$C$2,'Cap Pricer'!$E$23,IF('Cap Pricer'!$E$22=DataValidation!$C$3,VLOOKUP($B72,'Cap Pricer'!$C$25:$E$31,3),""))</f>
        <v>0.02</v>
      </c>
      <c r="J72" s="57">
        <f>Volatilities_Resets!$E61*0.01</f>
        <v>2.8312E-2</v>
      </c>
      <c r="K72" s="61">
        <f>IF(I72=L$11,Volatilities_Resets!$AA61,IF(I72&gt;=K$11,IF(I72&lt;L$11,(((Volatilities_Resets!$AA61-Volatilities_Resets!$Y61)/50)*((Calculator!I72-Calculator!K$11)*10000)+Volatilities_Resets!$Y61)),IF(I72&gt;=K$10,IF(I72&lt;L$10,(((Volatilities_Resets!$Y61-Volatilities_Resets!$W61)/50)*((Calculator!I72-Calculator!K$10)*10000)+Volatilities_Resets!$W61)),IF(I72&gt;=K$9,IF(I72&lt;L$9,(((Volatilities_Resets!$W61-Volatilities_Resets!$U61)/50)*((Calculator!I72-Calculator!K$9)*10000)+Volatilities_Resets!$U61)),IF(I72&gt;=K$8,IF(I72&lt;L$8,(((Volatilities_Resets!$U61-Volatilities_Resets!$S61)/50)*((Calculator!I72-Calculator!K$8)*10000)+Volatilities_Resets!$S61)),IF(I72&gt;=K$7,IF(I72&lt;L$7,(((Volatilities_Resets!$S61-Volatilities_Resets!$Q61)/50)*((Calculator!I72-Calculator!K$7)*10000)+Volatilities_Resets!$Q61)),IF(I72&gt;=K$6,IF(I72&lt;L$6,(((Volatilities_Resets!$Q61-Volatilities_Resets!$O61)/50)*((Calculator!I72-Calculator!K$6)*10000)+Volatilities_Resets!$O61)),IF(I72&gt;=K$5,IF(I72&lt;L$5,(((Volatilities_Resets!$O61-Volatilities_Resets!$M61)/50)*((Calculator!I72-Calculator!K$5)*10000)+Volatilities_Resets!$M61)),IF(I72&gt;=K$4,IF(I72&lt;L$4,(((Volatilities_Resets!$M61-Volatilities_Resets!$K61)/50)*((Calculator!I72-Calculator!K$4)*10000)+Volatilities_Resets!$K61)),IF(I72&gt;=K$3,IF(I72&lt;L$3,(((Volatilities_Resets!$K61-Volatilities_Resets!$I61)/50)*((Calculator!I72-Calculator!K$3)*10000)+Volatilities_Resets!$I61)),IF(I72&gt;=K$2,IF(I72&lt;L$2,(((Volatilities_Resets!$I61-Volatilities_Resets!$G61)/50)*((Calculator!I72-Calculator!K$2)*10000)+Volatilities_Resets!$G61)),"Well, something broke...")))))))))))/10000</f>
        <v>1.2354E-2</v>
      </c>
      <c r="L72" s="47">
        <f t="shared" ca="1" si="17"/>
        <v>28583.283054923264</v>
      </c>
      <c r="M72" s="63">
        <f t="shared" ca="1" si="18"/>
        <v>1.149529477325089E-3</v>
      </c>
      <c r="N72" s="63">
        <f t="shared" ca="1" si="44"/>
        <v>2038536.2474007285</v>
      </c>
      <c r="Q72" s="63">
        <f t="shared" ca="1" si="19"/>
        <v>132.09756195969018</v>
      </c>
      <c r="R72" s="63">
        <f ca="1">SUM($Q$15:Q72)</f>
        <v>5314.3390559255204</v>
      </c>
      <c r="T72" s="52">
        <f ca="1">EXP(-AVERAGE(J$15:J72)*G72)</f>
        <v>0.85249600391295521</v>
      </c>
      <c r="U72" s="57"/>
      <c r="V72" s="52">
        <f t="shared" ca="1" si="20"/>
        <v>58</v>
      </c>
      <c r="W72" s="71">
        <f t="shared" ca="1" si="21"/>
        <v>46744</v>
      </c>
      <c r="X72" s="71">
        <f t="shared" ca="1" si="3"/>
        <v>46775</v>
      </c>
      <c r="Y72" s="72">
        <f t="shared" ca="1" si="4"/>
        <v>31</v>
      </c>
      <c r="Z72" s="73">
        <f ca="1">SUM(Y$15:Y72)/360</f>
        <v>4.9083333333333332</v>
      </c>
      <c r="AA72" s="74">
        <f t="shared" si="22"/>
        <v>25000000</v>
      </c>
      <c r="AB72" s="59">
        <f t="shared" si="23"/>
        <v>0.03</v>
      </c>
      <c r="AC72" s="57">
        <f>Volatilities_Resets!$E61*0.01</f>
        <v>2.8312E-2</v>
      </c>
      <c r="AD72" s="61">
        <f>IF(AB72=AE$11,Volatilities_Resets!$AA61,IF(AB72&gt;=AD$11,IF(AB72&lt;AE$11,(((Volatilities_Resets!$AA61-Volatilities_Resets!$Y61)/50)*((Calculator!AB72-Calculator!AD$11)*10000)+Volatilities_Resets!$Y61)),IF(AB72&gt;=AD$10,IF(AB72&lt;AE$10,(((Volatilities_Resets!$Y61-Volatilities_Resets!$W61)/50)*((Calculator!AB72-Calculator!AD$10)*10000)+Volatilities_Resets!$W61)),IF(AB72&gt;=AD$9,IF(AB72&lt;AE$9,(((Volatilities_Resets!$W61-Volatilities_Resets!$U61)/50)*((Calculator!AB72-Calculator!AD$9)*10000)+Volatilities_Resets!$U61)),IF(AB72&gt;=AD$8,IF(AB72&lt;AE$8,(((Volatilities_Resets!$U61-Volatilities_Resets!$S61)/50)*((Calculator!AB72-Calculator!AD$8)*10000)+Volatilities_Resets!$S61)),IF(AB72&gt;=AD$7,IF(AB72&lt;AE$7,(((Volatilities_Resets!$S61-Volatilities_Resets!$Q61)/50)*((Calculator!AB72-Calculator!AD$7)*10000)+Volatilities_Resets!$Q61)),IF(AB72&gt;=AD$6,IF(AB72&lt;AE$6,(((Volatilities_Resets!$Q61-Volatilities_Resets!$O61)/50)*((Calculator!AB72-Calculator!AD$6)*10000)+Volatilities_Resets!$O61)),IF(AB72&gt;=AD$5,IF(AB72&lt;AE$5,(((Volatilities_Resets!$O61-Volatilities_Resets!$M61)/50)*((Calculator!AB72-Calculator!AD$5)*10000)+Volatilities_Resets!$M61)),IF(AB72&gt;=AD$4,IF(AB72&lt;AE$4,(((Volatilities_Resets!$M61-Volatilities_Resets!$K61)/50)*((Calculator!AB72-Calculator!AD$4)*10000)+Volatilities_Resets!$K61)),IF(AB72&gt;=AD$3,IF(AB72&lt;AE$3,(((Volatilities_Resets!$K61-Volatilities_Resets!$I61)/50)*((Calculator!AB72-Calculator!AD$3)*10000)+Volatilities_Resets!$I61)),IF(AB72&gt;=AD$2,IF(AB72&lt;AE$2,(((Volatilities_Resets!$I61-Volatilities_Resets!$G61)/50)*((Calculator!AB72-Calculator!AD$2)*10000)+Volatilities_Resets!$G61)),"Well, something broke...")))))))))))/10000</f>
        <v>1.2579E-2</v>
      </c>
      <c r="AE72" s="63">
        <f t="shared" ca="1" si="24"/>
        <v>18892.453241135136</v>
      </c>
      <c r="AF72" s="63">
        <f t="shared" ca="1" si="25"/>
        <v>7.621745981617183E-4</v>
      </c>
      <c r="AG72" s="63">
        <f t="shared" ca="1" si="45"/>
        <v>1344370.9203547298</v>
      </c>
      <c r="AJ72" s="63">
        <f t="shared" ca="1" si="26"/>
        <v>138.02908824062095</v>
      </c>
      <c r="AK72" s="63">
        <f ca="1">SUM($AJ$15:AJ72)</f>
        <v>5766.1929871562807</v>
      </c>
      <c r="AM72" s="52">
        <f ca="1">EXP(-AVERAGE(AC$15:AC72)*Z72)</f>
        <v>0.85249600391295521</v>
      </c>
      <c r="AO72" s="52">
        <f t="shared" ca="1" si="27"/>
        <v>58</v>
      </c>
      <c r="AP72" s="71">
        <f t="shared" ca="1" si="28"/>
        <v>46744</v>
      </c>
      <c r="AQ72" s="71">
        <f t="shared" ca="1" si="5"/>
        <v>46775</v>
      </c>
      <c r="AR72" s="72">
        <f t="shared" ca="1" si="6"/>
        <v>31</v>
      </c>
      <c r="AS72" s="73">
        <f ca="1">SUM(AR$15:AR72)/360</f>
        <v>4.9083333333333332</v>
      </c>
      <c r="AT72" s="74">
        <f t="shared" si="7"/>
        <v>25000000</v>
      </c>
      <c r="AU72" s="59">
        <f t="shared" si="29"/>
        <v>0.04</v>
      </c>
      <c r="AV72" s="57">
        <f>Volatilities_Resets!$E61*0.01</f>
        <v>2.8312E-2</v>
      </c>
      <c r="AW72" s="61">
        <f>IF(AU72=AX$11,Volatilities_Resets!$AA61,IF(AU72&gt;=AW$11,IF(AU72&lt;AX$11,(((Volatilities_Resets!$AA61-Volatilities_Resets!$Y61)/50)*((Calculator!AU72-Calculator!AW$11)*10000)+Volatilities_Resets!$Y61)),IF(AU72&gt;=AW$10,IF(AU72&lt;AX$10,(((Volatilities_Resets!$Y61-Volatilities_Resets!$W61)/50)*((Calculator!AU72-Calculator!AW$10)*10000)+Volatilities_Resets!$W61)),IF(AU72&gt;=AW$9,IF(AU72&lt;AX$9,(((Volatilities_Resets!$W61-Volatilities_Resets!$U61)/50)*((Calculator!AU72-Calculator!AW$9)*10000)+Volatilities_Resets!$U61)),IF(AU72&gt;=AW$8,IF(AU72&lt;AX$8,(((Volatilities_Resets!$U61-Volatilities_Resets!$S61)/50)*((Calculator!AU72-Calculator!AW$8)*10000)+Volatilities_Resets!$S61)),IF(AU72&gt;=AW$7,IF(AU72&lt;AX$7,(((Volatilities_Resets!$S61-Volatilities_Resets!$Q61)/50)*((Calculator!AU72-Calculator!AW$7)*10000)+Volatilities_Resets!$Q61)),IF(AU72&gt;=AW$6,IF(AU72&lt;AX$6,(((Volatilities_Resets!$Q61-Volatilities_Resets!$O61)/50)*((Calculator!AU72-Calculator!AW$6)*10000)+Volatilities_Resets!$O61)),IF(AU72&gt;=AW$5,IF(AU72&lt;AX$5,(((Volatilities_Resets!$O61-Volatilities_Resets!$M61)/50)*((Calculator!AU72-Calculator!AW$5)*10000)+Volatilities_Resets!$M61)),IF(AU72&gt;=AW$4,IF(AU72&lt;AX$4,(((Volatilities_Resets!$M61-Volatilities_Resets!$K61)/50)*((Calculator!AU72-Calculator!AW$4)*10000)+Volatilities_Resets!$K61)),IF(AU72&gt;=AW$3,IF(AU72&lt;AX$3,(((Volatilities_Resets!$K61-Volatilities_Resets!$I61)/50)*((Calculator!AU72-Calculator!AW$3)*10000)+Volatilities_Resets!$I61)),IF(AU72&gt;=AW$2,IF(AU72&lt;AX$2,(((Volatilities_Resets!$I61-Volatilities_Resets!$G61)/50)*((Calculator!AU72-Calculator!AW$2)*10000)+Volatilities_Resets!$G61)),"Well, something broke...")))))))))))/10000</f>
        <v>1.3337E-2</v>
      </c>
      <c r="AX72" s="63">
        <f t="shared" ca="1" si="30"/>
        <v>12579.155000631072</v>
      </c>
      <c r="AY72" s="63">
        <f t="shared" ca="1" si="31"/>
        <v>5.0916970081713844E-4</v>
      </c>
      <c r="AZ72" s="63">
        <f t="shared" ca="1" si="46"/>
        <v>815807.76110330748</v>
      </c>
      <c r="BC72" s="63">
        <f t="shared" ca="1" si="8"/>
        <v>127.94901086448066</v>
      </c>
      <c r="BD72" s="63">
        <f ca="1">SUM($BC$15:BC72)</f>
        <v>5532.5364315698716</v>
      </c>
      <c r="BF72" s="52">
        <f ca="1">EXP(-AVERAGE(AV$15:AV72)*AS72)</f>
        <v>0.85249600391295521</v>
      </c>
      <c r="BH72" s="52">
        <f t="shared" ca="1" si="32"/>
        <v>58</v>
      </c>
      <c r="BI72" s="71">
        <f t="shared" ca="1" si="33"/>
        <v>46744</v>
      </c>
      <c r="BJ72" s="71">
        <f t="shared" ca="1" si="9"/>
        <v>46775</v>
      </c>
      <c r="BK72" s="72">
        <f t="shared" ca="1" si="10"/>
        <v>31</v>
      </c>
      <c r="BL72" s="73">
        <f ca="1">SUM(BK$15:BK72)/360</f>
        <v>4.9083333333333332</v>
      </c>
      <c r="BM72" s="74">
        <f t="shared" si="11"/>
        <v>25000000</v>
      </c>
      <c r="BN72" s="59">
        <f t="shared" si="34"/>
        <v>0.05</v>
      </c>
      <c r="BO72" s="57">
        <f>Volatilities_Resets!$E61*0.01</f>
        <v>2.8312E-2</v>
      </c>
      <c r="BP72" s="61">
        <f>IF(BN72=BQ$11,Volatilities_Resets!$AA61,IF(BN72&gt;=BP$11,IF(BN72&lt;BQ$11,(((Volatilities_Resets!$AA61-Volatilities_Resets!$Y61)/50)*((Calculator!BN72-Calculator!BP$11)*10000)+Volatilities_Resets!$Y61)),IF(BN72&gt;=BP$10,IF(BN72&lt;BQ$10,(((Volatilities_Resets!$Y61-Volatilities_Resets!$W61)/50)*((Calculator!BN72-Calculator!BP$10)*10000)+Volatilities_Resets!$W61)),IF(BN72&gt;=BP$9,IF(BN72&lt;BQ$9,(((Volatilities_Resets!$W61-Volatilities_Resets!$U61)/50)*((Calculator!BN72-Calculator!BP$9)*10000)+Volatilities_Resets!$U61)),IF(BN72&gt;=BP$8,IF(BN72&lt;BQ$8,(((Volatilities_Resets!$U61-Volatilities_Resets!$S61)/50)*((Calculator!BN72-Calculator!BP$8)*10000)+Volatilities_Resets!$S61)),IF(BN72&gt;=BP$7,IF(BN72&lt;BQ$7,(((Volatilities_Resets!$S61-Volatilities_Resets!$Q61)/50)*((Calculator!BN72-Calculator!BP$7)*10000)+Volatilities_Resets!$Q61)),IF(BN72&gt;=BP$6,IF(BN72&lt;BQ$6,(((Volatilities_Resets!$Q61-Volatilities_Resets!$O61)/50)*((Calculator!BN72-Calculator!BP$6)*10000)+Volatilities_Resets!$O61)),IF(BN72&gt;=BP$5,IF(BN72&lt;BQ$5,(((Volatilities_Resets!$O61-Volatilities_Resets!$M61)/50)*((Calculator!BN72-Calculator!BP$5)*10000)+Volatilities_Resets!$M61)),IF(BN72&gt;=BP$4,IF(BN72&lt;BQ$4,(((Volatilities_Resets!$M61-Volatilities_Resets!$K61)/50)*((Calculator!BN72-Calculator!BP$4)*10000)+Volatilities_Resets!$K61)),IF(BN72&gt;=BP$3,IF(BN72&lt;BQ$3,(((Volatilities_Resets!$K61-Volatilities_Resets!$I61)/50)*((Calculator!BN72-Calculator!BP$3)*10000)+Volatilities_Resets!$I61)),IF(BN72&gt;=BP$2,IF(BN72&lt;BQ$2,(((Volatilities_Resets!$I61-Volatilities_Resets!$G61)/50)*((Calculator!BN72-Calculator!BP$2)*10000)+Volatilities_Resets!$G61)),"Well, something broke...")))))))))))/10000</f>
        <v>1.4494999999999999E-2</v>
      </c>
      <c r="BQ72" s="63">
        <f t="shared" ca="1" si="35"/>
        <v>8777.679527009137</v>
      </c>
      <c r="BR72" s="63">
        <f t="shared" ca="1" si="36"/>
        <v>3.5628044499966943E-4</v>
      </c>
      <c r="BS72" s="63">
        <f t="shared" ca="1" si="47"/>
        <v>445916.5536391139</v>
      </c>
      <c r="BV72" s="63">
        <f t="shared" ca="1" si="37"/>
        <v>110.25467045984273</v>
      </c>
      <c r="BW72" s="63">
        <f ca="1">SUM($BV$15:BV72)</f>
        <v>4746.6082299352447</v>
      </c>
      <c r="BY72" s="52">
        <f ca="1">EXP(-AVERAGE(BO$15:BO72)*BL72)</f>
        <v>0.85249600391295521</v>
      </c>
      <c r="CA72" s="52">
        <f t="shared" ca="1" si="38"/>
        <v>58</v>
      </c>
      <c r="CB72" s="71">
        <f t="shared" ca="1" si="39"/>
        <v>46744</v>
      </c>
      <c r="CC72" s="71">
        <f t="shared" ca="1" si="12"/>
        <v>46775</v>
      </c>
      <c r="CD72" s="72">
        <f t="shared" ca="1" si="13"/>
        <v>31</v>
      </c>
      <c r="CE72" s="73">
        <f ca="1">SUM(CD$15:CD72)/360</f>
        <v>4.9083333333333332</v>
      </c>
      <c r="CF72" s="74">
        <f t="shared" si="14"/>
        <v>25000000</v>
      </c>
      <c r="CG72" s="59">
        <f t="shared" si="40"/>
        <v>0.06</v>
      </c>
      <c r="CH72" s="57">
        <f>Volatilities_Resets!$E61*0.01</f>
        <v>2.8312E-2</v>
      </c>
      <c r="CI72" s="61">
        <f>IF(CG72=CJ$11,Volatilities_Resets!$AA61,IF(CG72&gt;=CI$11,IF(CG72&lt;CJ$11,(((Volatilities_Resets!$AA61-Volatilities_Resets!$Y61)/50)*((Calculator!CG72-Calculator!CI$11)*10000)+Volatilities_Resets!$Y61)),IF(CG72&gt;=CI$10,IF(CG72&lt;CJ$10,(((Volatilities_Resets!$Y61-Volatilities_Resets!$W61)/50)*((Calculator!CG72-Calculator!CI$10)*10000)+Volatilities_Resets!$W61)),IF(CG72&gt;=CI$9,IF(CG72&lt;CJ$9,(((Volatilities_Resets!$W61-Volatilities_Resets!$U61)/50)*((Calculator!CG72-Calculator!CI$9)*10000)+Volatilities_Resets!$U61)),IF(CG72&gt;=CI$8,IF(CG72&lt;CJ$8,(((Volatilities_Resets!$U61-Volatilities_Resets!$S61)/50)*((Calculator!CG72-Calculator!CI$8)*10000)+Volatilities_Resets!$S61)),IF(CG72&gt;=CI$7,IF(CG72&lt;CJ$7,(((Volatilities_Resets!$S61-Volatilities_Resets!$Q61)/50)*((Calculator!CG72-Calculator!CI$7)*10000)+Volatilities_Resets!$Q61)),IF(CG72&gt;=CI$6,IF(CG72&lt;CJ$6,(((Volatilities_Resets!$Q61-Volatilities_Resets!$O61)/50)*((Calculator!CG72-Calculator!CI$6)*10000)+Volatilities_Resets!$O61)),IF(CG72&gt;=CI$5,IF(CG72&lt;CJ$5,(((Volatilities_Resets!$O61-Volatilities_Resets!$M61)/50)*((Calculator!CG72-Calculator!CI$5)*10000)+Volatilities_Resets!$M61)),IF(CG72&gt;=CI$4,IF(CG72&lt;CJ$4,(((Volatilities_Resets!$M61-Volatilities_Resets!$K61)/50)*((Calculator!CG72-Calculator!CI$4)*10000)+Volatilities_Resets!$K61)),IF(CG72&gt;=CI$3,IF(CG72&lt;CJ$3,(((Volatilities_Resets!$K61-Volatilities_Resets!$I61)/50)*((Calculator!CG72-Calculator!CI$3)*10000)+Volatilities_Resets!$I61)),IF(CG72&gt;=CI$2,IF(CG72&lt;CJ$2,(((Volatilities_Resets!$I61-Volatilities_Resets!$G61)/50)*((Calculator!CG72-Calculator!CI$2)*10000)+Volatilities_Resets!$G61)),"Well, something broke...")))))))))))/10000</f>
        <v>1.5877000000000002E-2</v>
      </c>
      <c r="CJ72" s="63">
        <f t="shared" ca="1" si="41"/>
        <v>6473.0265946150439</v>
      </c>
      <c r="CK72" s="63">
        <f t="shared" ca="1" si="42"/>
        <v>2.6325622114427364E-4</v>
      </c>
      <c r="CL72" s="63">
        <f t="shared" ca="1" si="48"/>
        <v>256136.81442858765</v>
      </c>
      <c r="CO72" s="63">
        <f t="shared" ca="1" si="43"/>
        <v>92.392608136353346</v>
      </c>
      <c r="CP72" s="63">
        <f ca="1">SUM($CO$15:CO72)</f>
        <v>3628.4103043321975</v>
      </c>
      <c r="CR72" s="52">
        <f ca="1">EXP(-AVERAGE(CH$15:CH72)*CE72)</f>
        <v>0.85249600391295521</v>
      </c>
      <c r="CT72"/>
      <c r="CU72"/>
      <c r="CV72"/>
      <c r="CW72"/>
      <c r="CX72"/>
      <c r="CY72"/>
      <c r="CZ72"/>
      <c r="DA72"/>
      <c r="DB72"/>
      <c r="DC72"/>
      <c r="DD72"/>
      <c r="DE72"/>
      <c r="DF72"/>
      <c r="DG72"/>
      <c r="DH72"/>
      <c r="DI72"/>
      <c r="DJ72"/>
      <c r="DK72"/>
      <c r="DL72"/>
    </row>
    <row r="73" spans="2:116" ht="15.75" customHeight="1">
      <c r="B73" s="52">
        <v>5</v>
      </c>
      <c r="C73" s="52">
        <f t="shared" ca="1" si="49"/>
        <v>59</v>
      </c>
      <c r="D73" s="71">
        <f t="shared" ca="1" si="16"/>
        <v>46775</v>
      </c>
      <c r="E73" s="71">
        <f t="shared" ca="1" si="50"/>
        <v>46806</v>
      </c>
      <c r="F73" s="72">
        <f t="shared" ca="1" si="51"/>
        <v>31</v>
      </c>
      <c r="G73" s="73">
        <f ca="1">SUM($F$15:F73)/360</f>
        <v>4.9944444444444445</v>
      </c>
      <c r="H73" s="74">
        <f t="shared" si="2"/>
        <v>25000000</v>
      </c>
      <c r="I73" s="59">
        <f>IF('Cap Pricer'!$E$22=DataValidation!$C$2,'Cap Pricer'!$E$23,IF('Cap Pricer'!$E$22=DataValidation!$C$3,VLOOKUP($B73,'Cap Pricer'!$C$25:$E$31,3),""))</f>
        <v>0.02</v>
      </c>
      <c r="J73" s="57">
        <f>Volatilities_Resets!$E62*0.01</f>
        <v>2.8314200000000001E-2</v>
      </c>
      <c r="K73" s="61">
        <f>IF(I73=L$11,Volatilities_Resets!$AA62,IF(I73&gt;=K$11,IF(I73&lt;L$11,(((Volatilities_Resets!$AA62-Volatilities_Resets!$Y62)/50)*((Calculator!I73-Calculator!K$11)*10000)+Volatilities_Resets!$Y62)),IF(I73&gt;=K$10,IF(I73&lt;L$10,(((Volatilities_Resets!$Y62-Volatilities_Resets!$W62)/50)*((Calculator!I73-Calculator!K$10)*10000)+Volatilities_Resets!$W62)),IF(I73&gt;=K$9,IF(I73&lt;L$9,(((Volatilities_Resets!$W62-Volatilities_Resets!$U62)/50)*((Calculator!I73-Calculator!K$9)*10000)+Volatilities_Resets!$U62)),IF(I73&gt;=K$8,IF(I73&lt;L$8,(((Volatilities_Resets!$U62-Volatilities_Resets!$S62)/50)*((Calculator!I73-Calculator!K$8)*10000)+Volatilities_Resets!$S62)),IF(I73&gt;=K$7,IF(I73&lt;L$7,(((Volatilities_Resets!$S62-Volatilities_Resets!$Q62)/50)*((Calculator!I73-Calculator!K$7)*10000)+Volatilities_Resets!$Q62)),IF(I73&gt;=K$6,IF(I73&lt;L$6,(((Volatilities_Resets!$Q62-Volatilities_Resets!$O62)/50)*((Calculator!I73-Calculator!K$6)*10000)+Volatilities_Resets!$O62)),IF(I73&gt;=K$5,IF(I73&lt;L$5,(((Volatilities_Resets!$O62-Volatilities_Resets!$M62)/50)*((Calculator!I73-Calculator!K$5)*10000)+Volatilities_Resets!$M62)),IF(I73&gt;=K$4,IF(I73&lt;L$4,(((Volatilities_Resets!$M62-Volatilities_Resets!$K62)/50)*((Calculator!I73-Calculator!K$4)*10000)+Volatilities_Resets!$K62)),IF(I73&gt;=K$3,IF(I73&lt;L$3,(((Volatilities_Resets!$K62-Volatilities_Resets!$I62)/50)*((Calculator!I73-Calculator!K$3)*10000)+Volatilities_Resets!$I62)),IF(I73&gt;=K$2,IF(I73&lt;L$2,(((Volatilities_Resets!$I62-Volatilities_Resets!$G62)/50)*((Calculator!I73-Calculator!K$2)*10000)+Volatilities_Resets!$G62)),"Well, something broke...")))))))))))/10000</f>
        <v>1.2206999999999999E-2</v>
      </c>
      <c r="L73" s="47">
        <f t="shared" ca="1" si="17"/>
        <v>28453.603049943584</v>
      </c>
      <c r="M73" s="63">
        <f t="shared" ca="1" si="18"/>
        <v>1.1443791482275351E-3</v>
      </c>
      <c r="N73" s="63">
        <f t="shared" ca="1" si="44"/>
        <v>2066989.8504506722</v>
      </c>
      <c r="Q73" s="63">
        <f t="shared" ca="1" si="19"/>
        <v>132.5589639635009</v>
      </c>
      <c r="R73" s="63">
        <f ca="1">SUM($Q$15:Q73)</f>
        <v>5446.8980198890213</v>
      </c>
      <c r="T73" s="52">
        <f ca="1">EXP(-AVERAGE(J$15:J73)*G73)</f>
        <v>0.85041479588403734</v>
      </c>
      <c r="U73" s="57"/>
      <c r="V73" s="52">
        <f t="shared" ca="1" si="20"/>
        <v>59</v>
      </c>
      <c r="W73" s="71">
        <f t="shared" ca="1" si="21"/>
        <v>46775</v>
      </c>
      <c r="X73" s="71">
        <f t="shared" ca="1" si="3"/>
        <v>46806</v>
      </c>
      <c r="Y73" s="72">
        <f t="shared" ca="1" si="4"/>
        <v>31</v>
      </c>
      <c r="Z73" s="73">
        <f ca="1">SUM(Y$15:Y73)/360</f>
        <v>4.9944444444444445</v>
      </c>
      <c r="AA73" s="74">
        <f t="shared" si="22"/>
        <v>25000000</v>
      </c>
      <c r="AB73" s="59">
        <f t="shared" si="23"/>
        <v>0.03</v>
      </c>
      <c r="AC73" s="57">
        <f>Volatilities_Resets!$E62*0.01</f>
        <v>2.8314200000000001E-2</v>
      </c>
      <c r="AD73" s="61">
        <f>IF(AB73=AE$11,Volatilities_Resets!$AA62,IF(AB73&gt;=AD$11,IF(AB73&lt;AE$11,(((Volatilities_Resets!$AA62-Volatilities_Resets!$Y62)/50)*((Calculator!AB73-Calculator!AD$11)*10000)+Volatilities_Resets!$Y62)),IF(AB73&gt;=AD$10,IF(AB73&lt;AE$10,(((Volatilities_Resets!$Y62-Volatilities_Resets!$W62)/50)*((Calculator!AB73-Calculator!AD$10)*10000)+Volatilities_Resets!$W62)),IF(AB73&gt;=AD$9,IF(AB73&lt;AE$9,(((Volatilities_Resets!$W62-Volatilities_Resets!$U62)/50)*((Calculator!AB73-Calculator!AD$9)*10000)+Volatilities_Resets!$U62)),IF(AB73&gt;=AD$8,IF(AB73&lt;AE$8,(((Volatilities_Resets!$U62-Volatilities_Resets!$S62)/50)*((Calculator!AB73-Calculator!AD$8)*10000)+Volatilities_Resets!$S62)),IF(AB73&gt;=AD$7,IF(AB73&lt;AE$7,(((Volatilities_Resets!$S62-Volatilities_Resets!$Q62)/50)*((Calculator!AB73-Calculator!AD$7)*10000)+Volatilities_Resets!$Q62)),IF(AB73&gt;=AD$6,IF(AB73&lt;AE$6,(((Volatilities_Resets!$Q62-Volatilities_Resets!$O62)/50)*((Calculator!AB73-Calculator!AD$6)*10000)+Volatilities_Resets!$O62)),IF(AB73&gt;=AD$5,IF(AB73&lt;AE$5,(((Volatilities_Resets!$O62-Volatilities_Resets!$M62)/50)*((Calculator!AB73-Calculator!AD$5)*10000)+Volatilities_Resets!$M62)),IF(AB73&gt;=AD$4,IF(AB73&lt;AE$4,(((Volatilities_Resets!$M62-Volatilities_Resets!$K62)/50)*((Calculator!AB73-Calculator!AD$4)*10000)+Volatilities_Resets!$K62)),IF(AB73&gt;=AD$3,IF(AB73&lt;AE$3,(((Volatilities_Resets!$K62-Volatilities_Resets!$I62)/50)*((Calculator!AB73-Calculator!AD$3)*10000)+Volatilities_Resets!$I62)),IF(AB73&gt;=AD$2,IF(AB73&lt;AE$2,(((Volatilities_Resets!$I62-Volatilities_Resets!$G62)/50)*((Calculator!AB73-Calculator!AD$2)*10000)+Volatilities_Resets!$G62)),"Well, something broke...")))))))))))/10000</f>
        <v>1.2371999999999999E-2</v>
      </c>
      <c r="AE73" s="63">
        <f t="shared" ca="1" si="24"/>
        <v>18688.438057561965</v>
      </c>
      <c r="AF73" s="63">
        <f t="shared" ca="1" si="25"/>
        <v>7.5405444993357649E-4</v>
      </c>
      <c r="AG73" s="63">
        <f t="shared" ca="1" si="45"/>
        <v>1363059.3584122916</v>
      </c>
      <c r="AJ73" s="63">
        <f t="shared" ca="1" si="26"/>
        <v>138.5522920297777</v>
      </c>
      <c r="AK73" s="63">
        <f ca="1">SUM($AJ$15:AJ73)</f>
        <v>5904.7452791860587</v>
      </c>
      <c r="AM73" s="52">
        <f ca="1">EXP(-AVERAGE(AC$15:AC73)*Z73)</f>
        <v>0.85041479588403734</v>
      </c>
      <c r="AO73" s="52">
        <f t="shared" ca="1" si="27"/>
        <v>59</v>
      </c>
      <c r="AP73" s="71">
        <f t="shared" ca="1" si="28"/>
        <v>46775</v>
      </c>
      <c r="AQ73" s="71">
        <f t="shared" ca="1" si="5"/>
        <v>46806</v>
      </c>
      <c r="AR73" s="72">
        <f t="shared" ca="1" si="6"/>
        <v>31</v>
      </c>
      <c r="AS73" s="73">
        <f ca="1">SUM(AR$15:AR73)/360</f>
        <v>4.9944444444444445</v>
      </c>
      <c r="AT73" s="74">
        <f t="shared" si="7"/>
        <v>25000000</v>
      </c>
      <c r="AU73" s="59">
        <f t="shared" si="29"/>
        <v>0.04</v>
      </c>
      <c r="AV73" s="57">
        <f>Volatilities_Resets!$E62*0.01</f>
        <v>2.8314200000000001E-2</v>
      </c>
      <c r="AW73" s="61">
        <f>IF(AU73=AX$11,Volatilities_Resets!$AA62,IF(AU73&gt;=AW$11,IF(AU73&lt;AX$11,(((Volatilities_Resets!$AA62-Volatilities_Resets!$Y62)/50)*((Calculator!AU73-Calculator!AW$11)*10000)+Volatilities_Resets!$Y62)),IF(AU73&gt;=AW$10,IF(AU73&lt;AX$10,(((Volatilities_Resets!$Y62-Volatilities_Resets!$W62)/50)*((Calculator!AU73-Calculator!AW$10)*10000)+Volatilities_Resets!$W62)),IF(AU73&gt;=AW$9,IF(AU73&lt;AX$9,(((Volatilities_Resets!$W62-Volatilities_Resets!$U62)/50)*((Calculator!AU73-Calculator!AW$9)*10000)+Volatilities_Resets!$U62)),IF(AU73&gt;=AW$8,IF(AU73&lt;AX$8,(((Volatilities_Resets!$U62-Volatilities_Resets!$S62)/50)*((Calculator!AU73-Calculator!AW$8)*10000)+Volatilities_Resets!$S62)),IF(AU73&gt;=AW$7,IF(AU73&lt;AX$7,(((Volatilities_Resets!$S62-Volatilities_Resets!$Q62)/50)*((Calculator!AU73-Calculator!AW$7)*10000)+Volatilities_Resets!$Q62)),IF(AU73&gt;=AW$6,IF(AU73&lt;AX$6,(((Volatilities_Resets!$Q62-Volatilities_Resets!$O62)/50)*((Calculator!AU73-Calculator!AW$6)*10000)+Volatilities_Resets!$O62)),IF(AU73&gt;=AW$5,IF(AU73&lt;AX$5,(((Volatilities_Resets!$O62-Volatilities_Resets!$M62)/50)*((Calculator!AU73-Calculator!AW$5)*10000)+Volatilities_Resets!$M62)),IF(AU73&gt;=AW$4,IF(AU73&lt;AX$4,(((Volatilities_Resets!$M62-Volatilities_Resets!$K62)/50)*((Calculator!AU73-Calculator!AW$4)*10000)+Volatilities_Resets!$K62)),IF(AU73&gt;=AW$3,IF(AU73&lt;AX$3,(((Volatilities_Resets!$K62-Volatilities_Resets!$I62)/50)*((Calculator!AU73-Calculator!AW$3)*10000)+Volatilities_Resets!$I62)),IF(AU73&gt;=AW$2,IF(AU73&lt;AX$2,(((Volatilities_Resets!$I62-Volatilities_Resets!$G62)/50)*((Calculator!AU73-Calculator!AW$2)*10000)+Volatilities_Resets!$G62)),"Well, something broke...")))))))))))/10000</f>
        <v>1.3075E-2</v>
      </c>
      <c r="AX73" s="63">
        <f t="shared" ca="1" si="30"/>
        <v>12328.859568194561</v>
      </c>
      <c r="AY73" s="63">
        <f t="shared" ca="1" si="31"/>
        <v>4.9918522015009214E-4</v>
      </c>
      <c r="AZ73" s="63">
        <f t="shared" ca="1" si="46"/>
        <v>828136.62067150208</v>
      </c>
      <c r="BC73" s="63">
        <f t="shared" ca="1" si="8"/>
        <v>128.21783438758379</v>
      </c>
      <c r="BD73" s="63">
        <f ca="1">SUM($BC$15:BC73)</f>
        <v>5660.7542659574556</v>
      </c>
      <c r="BF73" s="52">
        <f ca="1">EXP(-AVERAGE(AV$15:AV73)*AS73)</f>
        <v>0.85041479588403734</v>
      </c>
      <c r="BH73" s="52">
        <f t="shared" ca="1" si="32"/>
        <v>59</v>
      </c>
      <c r="BI73" s="71">
        <f t="shared" ca="1" si="33"/>
        <v>46775</v>
      </c>
      <c r="BJ73" s="71">
        <f t="shared" ca="1" si="9"/>
        <v>46806</v>
      </c>
      <c r="BK73" s="72">
        <f t="shared" ca="1" si="10"/>
        <v>31</v>
      </c>
      <c r="BL73" s="73">
        <f ca="1">SUM(BK$15:BK73)/360</f>
        <v>4.9944444444444445</v>
      </c>
      <c r="BM73" s="74">
        <f t="shared" si="11"/>
        <v>25000000</v>
      </c>
      <c r="BN73" s="59">
        <f t="shared" si="34"/>
        <v>0.05</v>
      </c>
      <c r="BO73" s="57">
        <f>Volatilities_Resets!$E62*0.01</f>
        <v>2.8314200000000001E-2</v>
      </c>
      <c r="BP73" s="61">
        <f>IF(BN73=BQ$11,Volatilities_Resets!$AA62,IF(BN73&gt;=BP$11,IF(BN73&lt;BQ$11,(((Volatilities_Resets!$AA62-Volatilities_Resets!$Y62)/50)*((Calculator!BN73-Calculator!BP$11)*10000)+Volatilities_Resets!$Y62)),IF(BN73&gt;=BP$10,IF(BN73&lt;BQ$10,(((Volatilities_Resets!$Y62-Volatilities_Resets!$W62)/50)*((Calculator!BN73-Calculator!BP$10)*10000)+Volatilities_Resets!$W62)),IF(BN73&gt;=BP$9,IF(BN73&lt;BQ$9,(((Volatilities_Resets!$W62-Volatilities_Resets!$U62)/50)*((Calculator!BN73-Calculator!BP$9)*10000)+Volatilities_Resets!$U62)),IF(BN73&gt;=BP$8,IF(BN73&lt;BQ$8,(((Volatilities_Resets!$U62-Volatilities_Resets!$S62)/50)*((Calculator!BN73-Calculator!BP$8)*10000)+Volatilities_Resets!$S62)),IF(BN73&gt;=BP$7,IF(BN73&lt;BQ$7,(((Volatilities_Resets!$S62-Volatilities_Resets!$Q62)/50)*((Calculator!BN73-Calculator!BP$7)*10000)+Volatilities_Resets!$Q62)),IF(BN73&gt;=BP$6,IF(BN73&lt;BQ$6,(((Volatilities_Resets!$Q62-Volatilities_Resets!$O62)/50)*((Calculator!BN73-Calculator!BP$6)*10000)+Volatilities_Resets!$O62)),IF(BN73&gt;=BP$5,IF(BN73&lt;BQ$5,(((Volatilities_Resets!$O62-Volatilities_Resets!$M62)/50)*((Calculator!BN73-Calculator!BP$5)*10000)+Volatilities_Resets!$M62)),IF(BN73&gt;=BP$4,IF(BN73&lt;BQ$4,(((Volatilities_Resets!$M62-Volatilities_Resets!$K62)/50)*((Calculator!BN73-Calculator!BP$4)*10000)+Volatilities_Resets!$K62)),IF(BN73&gt;=BP$3,IF(BN73&lt;BQ$3,(((Volatilities_Resets!$K62-Volatilities_Resets!$I62)/50)*((Calculator!BN73-Calculator!BP$3)*10000)+Volatilities_Resets!$I62)),IF(BN73&gt;=BP$2,IF(BN73&lt;BQ$2,(((Volatilities_Resets!$I62-Volatilities_Resets!$G62)/50)*((Calculator!BN73-Calculator!BP$2)*10000)+Volatilities_Resets!$G62)),"Well, something broke...")))))))))))/10000</f>
        <v>1.4193000000000001E-2</v>
      </c>
      <c r="BQ73" s="63">
        <f t="shared" ca="1" si="35"/>
        <v>8528.5520037448405</v>
      </c>
      <c r="BR73" s="63">
        <f t="shared" ca="1" si="36"/>
        <v>3.4631878208196459E-4</v>
      </c>
      <c r="BS73" s="63">
        <f t="shared" ca="1" si="47"/>
        <v>454445.10564285872</v>
      </c>
      <c r="BV73" s="63">
        <f t="shared" ca="1" si="37"/>
        <v>110.05859792499237</v>
      </c>
      <c r="BW73" s="63">
        <f ca="1">SUM($BV$15:BV73)</f>
        <v>4856.6668278602374</v>
      </c>
      <c r="BY73" s="52">
        <f ca="1">EXP(-AVERAGE(BO$15:BO73)*BL73)</f>
        <v>0.85041479588403734</v>
      </c>
      <c r="CA73" s="52">
        <f t="shared" ca="1" si="38"/>
        <v>59</v>
      </c>
      <c r="CB73" s="71">
        <f t="shared" ca="1" si="39"/>
        <v>46775</v>
      </c>
      <c r="CC73" s="71">
        <f t="shared" ca="1" si="12"/>
        <v>46806</v>
      </c>
      <c r="CD73" s="72">
        <f t="shared" ca="1" si="13"/>
        <v>31</v>
      </c>
      <c r="CE73" s="73">
        <f ca="1">SUM(CD$15:CD73)/360</f>
        <v>4.9944444444444445</v>
      </c>
      <c r="CF73" s="74">
        <f t="shared" si="14"/>
        <v>25000000</v>
      </c>
      <c r="CG73" s="59">
        <f t="shared" si="40"/>
        <v>0.06</v>
      </c>
      <c r="CH73" s="57">
        <f>Volatilities_Resets!$E62*0.01</f>
        <v>2.8314200000000001E-2</v>
      </c>
      <c r="CI73" s="61">
        <f>IF(CG73=CJ$11,Volatilities_Resets!$AA62,IF(CG73&gt;=CI$11,IF(CG73&lt;CJ$11,(((Volatilities_Resets!$AA62-Volatilities_Resets!$Y62)/50)*((Calculator!CG73-Calculator!CI$11)*10000)+Volatilities_Resets!$Y62)),IF(CG73&gt;=CI$10,IF(CG73&lt;CJ$10,(((Volatilities_Resets!$Y62-Volatilities_Resets!$W62)/50)*((Calculator!CG73-Calculator!CI$10)*10000)+Volatilities_Resets!$W62)),IF(CG73&gt;=CI$9,IF(CG73&lt;CJ$9,(((Volatilities_Resets!$W62-Volatilities_Resets!$U62)/50)*((Calculator!CG73-Calculator!CI$9)*10000)+Volatilities_Resets!$U62)),IF(CG73&gt;=CI$8,IF(CG73&lt;CJ$8,(((Volatilities_Resets!$U62-Volatilities_Resets!$S62)/50)*((Calculator!CG73-Calculator!CI$8)*10000)+Volatilities_Resets!$S62)),IF(CG73&gt;=CI$7,IF(CG73&lt;CJ$7,(((Volatilities_Resets!$S62-Volatilities_Resets!$Q62)/50)*((Calculator!CG73-Calculator!CI$7)*10000)+Volatilities_Resets!$Q62)),IF(CG73&gt;=CI$6,IF(CG73&lt;CJ$6,(((Volatilities_Resets!$Q62-Volatilities_Resets!$O62)/50)*((Calculator!CG73-Calculator!CI$6)*10000)+Volatilities_Resets!$O62)),IF(CG73&gt;=CI$5,IF(CG73&lt;CJ$5,(((Volatilities_Resets!$O62-Volatilities_Resets!$M62)/50)*((Calculator!CG73-Calculator!CI$5)*10000)+Volatilities_Resets!$M62)),IF(CG73&gt;=CI$4,IF(CG73&lt;CJ$4,(((Volatilities_Resets!$M62-Volatilities_Resets!$K62)/50)*((Calculator!CG73-Calculator!CI$4)*10000)+Volatilities_Resets!$K62)),IF(CG73&gt;=CI$3,IF(CG73&lt;CJ$3,(((Volatilities_Resets!$K62-Volatilities_Resets!$I62)/50)*((Calculator!CG73-Calculator!CI$3)*10000)+Volatilities_Resets!$I62)),IF(CG73&gt;=CI$2,IF(CG73&lt;CJ$2,(((Volatilities_Resets!$I62-Volatilities_Resets!$G62)/50)*((Calculator!CG73-Calculator!CI$2)*10000)+Volatilities_Resets!$G62)),"Well, something broke...")))))))))))/10000</f>
        <v>1.5546000000000001E-2</v>
      </c>
      <c r="CJ73" s="63">
        <f t="shared" ca="1" si="41"/>
        <v>6248.4822517735483</v>
      </c>
      <c r="CK73" s="63">
        <f t="shared" ca="1" si="42"/>
        <v>2.5425827159123745E-4</v>
      </c>
      <c r="CL73" s="63">
        <f t="shared" ca="1" si="48"/>
        <v>262385.29668036121</v>
      </c>
      <c r="CO73" s="63">
        <f t="shared" ca="1" si="43"/>
        <v>91.823144700225569</v>
      </c>
      <c r="CP73" s="63">
        <f ca="1">SUM($CO$15:CO73)</f>
        <v>3720.2334490324229</v>
      </c>
      <c r="CR73" s="52">
        <f ca="1">EXP(-AVERAGE(CH$15:CH73)*CE73)</f>
        <v>0.85041479588403734</v>
      </c>
      <c r="CT73"/>
      <c r="CU73"/>
      <c r="CV73"/>
      <c r="CW73"/>
      <c r="CX73"/>
      <c r="CY73"/>
      <c r="CZ73"/>
      <c r="DA73"/>
      <c r="DB73"/>
      <c r="DC73"/>
      <c r="DD73"/>
      <c r="DE73"/>
      <c r="DF73"/>
      <c r="DG73"/>
      <c r="DH73"/>
      <c r="DI73"/>
      <c r="DJ73"/>
      <c r="DK73"/>
      <c r="DL73"/>
    </row>
    <row r="74" spans="2:116" ht="15.75" customHeight="1">
      <c r="B74" s="52">
        <v>5</v>
      </c>
      <c r="C74" s="75">
        <f t="shared" ca="1" si="49"/>
        <v>60</v>
      </c>
      <c r="D74" s="76">
        <f t="shared" ca="1" si="16"/>
        <v>46806</v>
      </c>
      <c r="E74" s="76">
        <f t="shared" ca="1" si="50"/>
        <v>46835</v>
      </c>
      <c r="F74" s="77">
        <f t="shared" ca="1" si="51"/>
        <v>29</v>
      </c>
      <c r="G74" s="78">
        <f ca="1">SUM($F$15:F74)/360</f>
        <v>5.0750000000000002</v>
      </c>
      <c r="H74" s="79">
        <f t="shared" si="2"/>
        <v>25000000</v>
      </c>
      <c r="I74" s="80">
        <f>IF('Cap Pricer'!$E$22=DataValidation!$C$2,'Cap Pricer'!$E$23,IF('Cap Pricer'!$E$22=DataValidation!$C$3,VLOOKUP($B74,'Cap Pricer'!$C$25:$E$31,3),""))</f>
        <v>0.02</v>
      </c>
      <c r="J74" s="81">
        <f>Volatilities_Resets!$E63*0.01</f>
        <v>2.8312E-2</v>
      </c>
      <c r="K74" s="82">
        <f>IF(I74=L$11,Volatilities_Resets!$AA63,IF(I74&gt;=K$11,IF(I74&lt;L$11,(((Volatilities_Resets!$AA63-Volatilities_Resets!$Y63)/50)*((Calculator!I74-Calculator!K$11)*10000)+Volatilities_Resets!$Y63)),IF(I74&gt;=K$10,IF(I74&lt;L$10,(((Volatilities_Resets!$Y63-Volatilities_Resets!$W63)/50)*((Calculator!I74-Calculator!K$10)*10000)+Volatilities_Resets!$W63)),IF(I74&gt;=K$9,IF(I74&lt;L$9,(((Volatilities_Resets!$W63-Volatilities_Resets!$U63)/50)*((Calculator!I74-Calculator!K$9)*10000)+Volatilities_Resets!$U63)),IF(I74&gt;=K$8,IF(I74&lt;L$8,(((Volatilities_Resets!$U63-Volatilities_Resets!$S63)/50)*((Calculator!I74-Calculator!K$8)*10000)+Volatilities_Resets!$S63)),IF(I74&gt;=K$7,IF(I74&lt;L$7,(((Volatilities_Resets!$S63-Volatilities_Resets!$Q63)/50)*((Calculator!I74-Calculator!K$7)*10000)+Volatilities_Resets!$Q63)),IF(I74&gt;=K$6,IF(I74&lt;L$6,(((Volatilities_Resets!$Q63-Volatilities_Resets!$O63)/50)*((Calculator!I74-Calculator!K$6)*10000)+Volatilities_Resets!$O63)),IF(I74&gt;=K$5,IF(I74&lt;L$5,(((Volatilities_Resets!$O63-Volatilities_Resets!$M63)/50)*((Calculator!I74-Calculator!K$5)*10000)+Volatilities_Resets!$M63)),IF(I74&gt;=K$4,IF(I74&lt;L$4,(((Volatilities_Resets!$M63-Volatilities_Resets!$K63)/50)*((Calculator!I74-Calculator!K$4)*10000)+Volatilities_Resets!$K63)),IF(I74&gt;=K$3,IF(I74&lt;L$3,(((Volatilities_Resets!$K63-Volatilities_Resets!$I63)/50)*((Calculator!I74-Calculator!K$3)*10000)+Volatilities_Resets!$I63)),IF(I74&gt;=K$2,IF(I74&lt;L$2,(((Volatilities_Resets!$I63-Volatilities_Resets!$G63)/50)*((Calculator!I74-Calculator!K$2)*10000)+Volatilities_Resets!$G63)),"Well, something broke...")))))))))))/10000</f>
        <v>1.2052999999999999E-2</v>
      </c>
      <c r="L74" s="83">
        <f t="shared" ca="1" si="17"/>
        <v>26472.207111607662</v>
      </c>
      <c r="M74" s="84">
        <f t="shared" ca="1" si="18"/>
        <v>1.0647522278264408E-3</v>
      </c>
      <c r="N74" s="84">
        <f t="shared" ca="1" si="44"/>
        <v>2093462.05756228</v>
      </c>
      <c r="O74" s="84">
        <f ca="1">SUM(L63:L74)</f>
        <v>332461.7696934283</v>
      </c>
      <c r="P74" s="49"/>
      <c r="Q74" s="84">
        <f t="shared" ca="1" si="19"/>
        <v>124.38766560872206</v>
      </c>
      <c r="R74" s="84">
        <f ca="1">SUM($Q$15:Q74)</f>
        <v>5571.2856854977435</v>
      </c>
      <c r="T74" s="52">
        <f ca="1">EXP(-AVERAGE(J$15:J74)*G74)</f>
        <v>0.84849158954664894</v>
      </c>
      <c r="U74" s="57"/>
      <c r="V74" s="75">
        <f t="shared" ca="1" si="20"/>
        <v>60</v>
      </c>
      <c r="W74" s="76">
        <f t="shared" ca="1" si="21"/>
        <v>46806</v>
      </c>
      <c r="X74" s="76">
        <f t="shared" ca="1" si="3"/>
        <v>46835</v>
      </c>
      <c r="Y74" s="77">
        <f t="shared" ca="1" si="4"/>
        <v>29</v>
      </c>
      <c r="Z74" s="78">
        <f ca="1">SUM(Y$15:Y74)/360</f>
        <v>5.0750000000000002</v>
      </c>
      <c r="AA74" s="79">
        <f t="shared" si="22"/>
        <v>25000000</v>
      </c>
      <c r="AB74" s="80">
        <f t="shared" si="23"/>
        <v>0.03</v>
      </c>
      <c r="AC74" s="81">
        <f>Volatilities_Resets!$E63*0.01</f>
        <v>2.8312E-2</v>
      </c>
      <c r="AD74" s="82">
        <f>IF(AB74=AE$11,Volatilities_Resets!$AA63,IF(AB74&gt;=AD$11,IF(AB74&lt;AE$11,(((Volatilities_Resets!$AA63-Volatilities_Resets!$Y63)/50)*((Calculator!AB74-Calculator!AD$11)*10000)+Volatilities_Resets!$Y63)),IF(AB74&gt;=AD$10,IF(AB74&lt;AE$10,(((Volatilities_Resets!$Y63-Volatilities_Resets!$W63)/50)*((Calculator!AB74-Calculator!AD$10)*10000)+Volatilities_Resets!$W63)),IF(AB74&gt;=AD$9,IF(AB74&lt;AE$9,(((Volatilities_Resets!$W63-Volatilities_Resets!$U63)/50)*((Calculator!AB74-Calculator!AD$9)*10000)+Volatilities_Resets!$U63)),IF(AB74&gt;=AD$8,IF(AB74&lt;AE$8,(((Volatilities_Resets!$U63-Volatilities_Resets!$S63)/50)*((Calculator!AB74-Calculator!AD$8)*10000)+Volatilities_Resets!$S63)),IF(AB74&gt;=AD$7,IF(AB74&lt;AE$7,(((Volatilities_Resets!$S63-Volatilities_Resets!$Q63)/50)*((Calculator!AB74-Calculator!AD$7)*10000)+Volatilities_Resets!$Q63)),IF(AB74&gt;=AD$6,IF(AB74&lt;AE$6,(((Volatilities_Resets!$Q63-Volatilities_Resets!$O63)/50)*((Calculator!AB74-Calculator!AD$6)*10000)+Volatilities_Resets!$O63)),IF(AB74&gt;=AD$5,IF(AB74&lt;AE$5,(((Volatilities_Resets!$O63-Volatilities_Resets!$M63)/50)*((Calculator!AB74-Calculator!AD$5)*10000)+Volatilities_Resets!$M63)),IF(AB74&gt;=AD$4,IF(AB74&lt;AE$4,(((Volatilities_Resets!$M63-Volatilities_Resets!$K63)/50)*((Calculator!AB74-Calculator!AD$4)*10000)+Volatilities_Resets!$K63)),IF(AB74&gt;=AD$3,IF(AB74&lt;AE$3,(((Volatilities_Resets!$K63-Volatilities_Resets!$I63)/50)*((Calculator!AB74-Calculator!AD$3)*10000)+Volatilities_Resets!$I63)),IF(AB74&gt;=AD$2,IF(AB74&lt;AE$2,(((Volatilities_Resets!$I63-Volatilities_Resets!$G63)/50)*((Calculator!AB74-Calculator!AD$2)*10000)+Volatilities_Resets!$G63)),"Well, something broke...")))))))))))/10000</f>
        <v>1.2154E-2</v>
      </c>
      <c r="AE74" s="84">
        <f t="shared" ca="1" si="24"/>
        <v>17258.36159153518</v>
      </c>
      <c r="AF74" s="84">
        <f t="shared" ca="1" si="25"/>
        <v>6.9646576327292561E-4</v>
      </c>
      <c r="AG74" s="84">
        <f t="shared" ca="1" si="45"/>
        <v>1380317.7200038268</v>
      </c>
      <c r="AH74" s="84">
        <f ca="1">SUM(AE63:AE74)</f>
        <v>216269.78549864647</v>
      </c>
      <c r="AI74" s="49"/>
      <c r="AJ74" s="84">
        <f t="shared" ca="1" si="26"/>
        <v>130.05890383409914</v>
      </c>
      <c r="AK74" s="84">
        <f ca="1">SUM($AJ$15:AJ74)</f>
        <v>6034.8041830201582</v>
      </c>
      <c r="AM74" s="52">
        <f ca="1">EXP(-AVERAGE(AC$15:AC74)*Z74)</f>
        <v>0.84849158954664894</v>
      </c>
      <c r="AO74" s="75">
        <f t="shared" ca="1" si="27"/>
        <v>60</v>
      </c>
      <c r="AP74" s="76">
        <f t="shared" ca="1" si="28"/>
        <v>46806</v>
      </c>
      <c r="AQ74" s="76">
        <f t="shared" ca="1" si="5"/>
        <v>46835</v>
      </c>
      <c r="AR74" s="77">
        <f t="shared" ca="1" si="6"/>
        <v>29</v>
      </c>
      <c r="AS74" s="78">
        <f ca="1">SUM(AR$15:AR74)/360</f>
        <v>5.0750000000000002</v>
      </c>
      <c r="AT74" s="79">
        <f t="shared" si="7"/>
        <v>25000000</v>
      </c>
      <c r="AU74" s="80">
        <f t="shared" si="29"/>
        <v>0.04</v>
      </c>
      <c r="AV74" s="81">
        <f>Volatilities_Resets!$E63*0.01</f>
        <v>2.8312E-2</v>
      </c>
      <c r="AW74" s="82">
        <f>IF(AU74=AX$11,Volatilities_Resets!$AA63,IF(AU74&gt;=AW$11,IF(AU74&lt;AX$11,(((Volatilities_Resets!$AA63-Volatilities_Resets!$Y63)/50)*((Calculator!AU74-Calculator!AW$11)*10000)+Volatilities_Resets!$Y63)),IF(AU74&gt;=AW$10,IF(AU74&lt;AX$10,(((Volatilities_Resets!$Y63-Volatilities_Resets!$W63)/50)*((Calculator!AU74-Calculator!AW$10)*10000)+Volatilities_Resets!$W63)),IF(AU74&gt;=AW$9,IF(AU74&lt;AX$9,(((Volatilities_Resets!$W63-Volatilities_Resets!$U63)/50)*((Calculator!AU74-Calculator!AW$9)*10000)+Volatilities_Resets!$U63)),IF(AU74&gt;=AW$8,IF(AU74&lt;AX$8,(((Volatilities_Resets!$U63-Volatilities_Resets!$S63)/50)*((Calculator!AU74-Calculator!AW$8)*10000)+Volatilities_Resets!$S63)),IF(AU74&gt;=AW$7,IF(AU74&lt;AX$7,(((Volatilities_Resets!$S63-Volatilities_Resets!$Q63)/50)*((Calculator!AU74-Calculator!AW$7)*10000)+Volatilities_Resets!$Q63)),IF(AU74&gt;=AW$6,IF(AU74&lt;AX$6,(((Volatilities_Resets!$Q63-Volatilities_Resets!$O63)/50)*((Calculator!AU74-Calculator!AW$6)*10000)+Volatilities_Resets!$O63)),IF(AU74&gt;=AW$5,IF(AU74&lt;AX$5,(((Volatilities_Resets!$O63-Volatilities_Resets!$M63)/50)*((Calculator!AU74-Calculator!AW$5)*10000)+Volatilities_Resets!$M63)),IF(AU74&gt;=AW$4,IF(AU74&lt;AX$4,(((Volatilities_Resets!$M63-Volatilities_Resets!$K63)/50)*((Calculator!AU74-Calculator!AW$4)*10000)+Volatilities_Resets!$K63)),IF(AU74&gt;=AW$3,IF(AU74&lt;AX$3,(((Volatilities_Resets!$K63-Volatilities_Resets!$I63)/50)*((Calculator!AU74-Calculator!AW$3)*10000)+Volatilities_Resets!$I63)),IF(AU74&gt;=AW$2,IF(AU74&lt;AX$2,(((Volatilities_Resets!$I63-Volatilities_Resets!$G63)/50)*((Calculator!AU74-Calculator!AW$2)*10000)+Volatilities_Resets!$G63)),"Well, something broke...")))))))))))/10000</f>
        <v>1.2800000000000001E-2</v>
      </c>
      <c r="AX74" s="84">
        <f t="shared" ca="1" si="30"/>
        <v>11264.173738812147</v>
      </c>
      <c r="AY74" s="84">
        <f t="shared" ca="1" si="31"/>
        <v>4.562289709335659E-4</v>
      </c>
      <c r="AZ74" s="84">
        <f t="shared" ca="1" si="46"/>
        <v>839400.79441031418</v>
      </c>
      <c r="BA74" s="84">
        <f ca="1">SUM(AX63:AX74)</f>
        <v>141103.84529317811</v>
      </c>
      <c r="BB74" s="49"/>
      <c r="BC74" s="84">
        <f t="shared" ca="1" si="8"/>
        <v>120.10443804199176</v>
      </c>
      <c r="BD74" s="84">
        <f ca="1">SUM($BC$15:BC74)</f>
        <v>5780.8587039994472</v>
      </c>
      <c r="BF74" s="52">
        <f ca="1">EXP(-AVERAGE(AV$15:AV74)*AS74)</f>
        <v>0.84849158954664894</v>
      </c>
      <c r="BH74" s="75">
        <f t="shared" ca="1" si="32"/>
        <v>60</v>
      </c>
      <c r="BI74" s="76">
        <f t="shared" ca="1" si="33"/>
        <v>46806</v>
      </c>
      <c r="BJ74" s="76">
        <f t="shared" ca="1" si="9"/>
        <v>46835</v>
      </c>
      <c r="BK74" s="77">
        <f t="shared" ca="1" si="10"/>
        <v>29</v>
      </c>
      <c r="BL74" s="78">
        <f ca="1">SUM(BK$15:BK74)/360</f>
        <v>5.0750000000000002</v>
      </c>
      <c r="BM74" s="79">
        <f t="shared" si="11"/>
        <v>25000000</v>
      </c>
      <c r="BN74" s="80">
        <f t="shared" si="34"/>
        <v>0.05</v>
      </c>
      <c r="BO74" s="81">
        <f>Volatilities_Resets!$E63*0.01</f>
        <v>2.8312E-2</v>
      </c>
      <c r="BP74" s="82">
        <f>IF(BN74=BQ$11,Volatilities_Resets!$AA63,IF(BN74&gt;=BP$11,IF(BN74&lt;BQ$11,(((Volatilities_Resets!$AA63-Volatilities_Resets!$Y63)/50)*((Calculator!BN74-Calculator!BP$11)*10000)+Volatilities_Resets!$Y63)),IF(BN74&gt;=BP$10,IF(BN74&lt;BQ$10,(((Volatilities_Resets!$Y63-Volatilities_Resets!$W63)/50)*((Calculator!BN74-Calculator!BP$10)*10000)+Volatilities_Resets!$W63)),IF(BN74&gt;=BP$9,IF(BN74&lt;BQ$9,(((Volatilities_Resets!$W63-Volatilities_Resets!$U63)/50)*((Calculator!BN74-Calculator!BP$9)*10000)+Volatilities_Resets!$U63)),IF(BN74&gt;=BP$8,IF(BN74&lt;BQ$8,(((Volatilities_Resets!$U63-Volatilities_Resets!$S63)/50)*((Calculator!BN74-Calculator!BP$8)*10000)+Volatilities_Resets!$S63)),IF(BN74&gt;=BP$7,IF(BN74&lt;BQ$7,(((Volatilities_Resets!$S63-Volatilities_Resets!$Q63)/50)*((Calculator!BN74-Calculator!BP$7)*10000)+Volatilities_Resets!$Q63)),IF(BN74&gt;=BP$6,IF(BN74&lt;BQ$6,(((Volatilities_Resets!$Q63-Volatilities_Resets!$O63)/50)*((Calculator!BN74-Calculator!BP$6)*10000)+Volatilities_Resets!$O63)),IF(BN74&gt;=BP$5,IF(BN74&lt;BQ$5,(((Volatilities_Resets!$O63-Volatilities_Resets!$M63)/50)*((Calculator!BN74-Calculator!BP$5)*10000)+Volatilities_Resets!$M63)),IF(BN74&gt;=BP$4,IF(BN74&lt;BQ$4,(((Volatilities_Resets!$M63-Volatilities_Resets!$K63)/50)*((Calculator!BN74-Calculator!BP$4)*10000)+Volatilities_Resets!$K63)),IF(BN74&gt;=BP$3,IF(BN74&lt;BQ$3,(((Volatilities_Resets!$K63-Volatilities_Resets!$I63)/50)*((Calculator!BN74-Calculator!BP$3)*10000)+Volatilities_Resets!$I63)),IF(BN74&gt;=BP$2,IF(BN74&lt;BQ$2,(((Volatilities_Resets!$I63-Volatilities_Resets!$G63)/50)*((Calculator!BN74-Calculator!BP$2)*10000)+Volatilities_Resets!$G63)),"Well, something broke...")))))))))))/10000</f>
        <v>1.3875999999999999E-2</v>
      </c>
      <c r="BQ74" s="84">
        <f t="shared" ca="1" si="35"/>
        <v>7712.3323444558582</v>
      </c>
      <c r="BR74" s="84">
        <f t="shared" ca="1" si="36"/>
        <v>3.1333047317751622E-4</v>
      </c>
      <c r="BS74" s="84">
        <f t="shared" ca="1" si="47"/>
        <v>462157.4379873146</v>
      </c>
      <c r="BT74" s="84">
        <f ca="1">SUM(BQ63:BQ74)</f>
        <v>96400.3179139805</v>
      </c>
      <c r="BU74" s="49"/>
      <c r="BV74" s="84">
        <f t="shared" ca="1" si="37"/>
        <v>102.60765093547474</v>
      </c>
      <c r="BW74" s="84">
        <f ca="1">SUM($BV$15:BV74)</f>
        <v>4959.2744787957117</v>
      </c>
      <c r="BY74" s="52">
        <f ca="1">EXP(-AVERAGE(BO$15:BO74)*BL74)</f>
        <v>0.84849158954664894</v>
      </c>
      <c r="CA74" s="75">
        <f t="shared" ca="1" si="38"/>
        <v>60</v>
      </c>
      <c r="CB74" s="76">
        <f t="shared" ca="1" si="39"/>
        <v>46806</v>
      </c>
      <c r="CC74" s="76">
        <f t="shared" ca="1" si="12"/>
        <v>46835</v>
      </c>
      <c r="CD74" s="77">
        <f t="shared" ca="1" si="13"/>
        <v>29</v>
      </c>
      <c r="CE74" s="78">
        <f ca="1">SUM(CD$15:CD74)/360</f>
        <v>5.0750000000000002</v>
      </c>
      <c r="CF74" s="79">
        <f t="shared" si="14"/>
        <v>25000000</v>
      </c>
      <c r="CG74" s="80">
        <f t="shared" si="40"/>
        <v>0.06</v>
      </c>
      <c r="CH74" s="81">
        <f>Volatilities_Resets!$E63*0.01</f>
        <v>2.8312E-2</v>
      </c>
      <c r="CI74" s="82">
        <f>IF(CG74=CJ$11,Volatilities_Resets!$AA63,IF(CG74&gt;=CI$11,IF(CG74&lt;CJ$11,(((Volatilities_Resets!$AA63-Volatilities_Resets!$Y63)/50)*((Calculator!CG74-Calculator!CI$11)*10000)+Volatilities_Resets!$Y63)),IF(CG74&gt;=CI$10,IF(CG74&lt;CJ$10,(((Volatilities_Resets!$Y63-Volatilities_Resets!$W63)/50)*((Calculator!CG74-Calculator!CI$10)*10000)+Volatilities_Resets!$W63)),IF(CG74&gt;=CI$9,IF(CG74&lt;CJ$9,(((Volatilities_Resets!$W63-Volatilities_Resets!$U63)/50)*((Calculator!CG74-Calculator!CI$9)*10000)+Volatilities_Resets!$U63)),IF(CG74&gt;=CI$8,IF(CG74&lt;CJ$8,(((Volatilities_Resets!$U63-Volatilities_Resets!$S63)/50)*((Calculator!CG74-Calculator!CI$8)*10000)+Volatilities_Resets!$S63)),IF(CG74&gt;=CI$7,IF(CG74&lt;CJ$7,(((Volatilities_Resets!$S63-Volatilities_Resets!$Q63)/50)*((Calculator!CG74-Calculator!CI$7)*10000)+Volatilities_Resets!$Q63)),IF(CG74&gt;=CI$6,IF(CG74&lt;CJ$6,(((Volatilities_Resets!$Q63-Volatilities_Resets!$O63)/50)*((Calculator!CG74-Calculator!CI$6)*10000)+Volatilities_Resets!$O63)),IF(CG74&gt;=CI$5,IF(CG74&lt;CJ$5,(((Volatilities_Resets!$O63-Volatilities_Resets!$M63)/50)*((Calculator!CG74-Calculator!CI$5)*10000)+Volatilities_Resets!$M63)),IF(CG74&gt;=CI$4,IF(CG74&lt;CJ$4,(((Volatilities_Resets!$M63-Volatilities_Resets!$K63)/50)*((Calculator!CG74-Calculator!CI$4)*10000)+Volatilities_Resets!$K63)),IF(CG74&gt;=CI$3,IF(CG74&lt;CJ$3,(((Volatilities_Resets!$K63-Volatilities_Resets!$I63)/50)*((Calculator!CG74-Calculator!CI$3)*10000)+Volatilities_Resets!$I63)),IF(CG74&gt;=CI$2,IF(CG74&lt;CJ$2,(((Volatilities_Resets!$I63-Volatilities_Resets!$G63)/50)*((Calculator!CG74-Calculator!CI$2)*10000)+Volatilities_Resets!$G63)),"Well, something broke...")))))))))))/10000</f>
        <v>1.5198E-2</v>
      </c>
      <c r="CJ74" s="84">
        <f t="shared" ca="1" si="41"/>
        <v>5605.7721330379318</v>
      </c>
      <c r="CK74" s="84">
        <f t="shared" ca="1" si="42"/>
        <v>2.2824489238316566E-4</v>
      </c>
      <c r="CL74" s="84">
        <f t="shared" ca="1" si="48"/>
        <v>267991.06881339912</v>
      </c>
      <c r="CM74" s="84">
        <f ca="1">SUM(CJ63:CJ74)</f>
        <v>69708.247237858028</v>
      </c>
      <c r="CN74" s="49"/>
      <c r="CO74" s="84">
        <f t="shared" ca="1" si="43"/>
        <v>85.146280804737643</v>
      </c>
      <c r="CP74" s="84">
        <f ca="1">SUM($CO$15:CO74)</f>
        <v>3805.3797298371605</v>
      </c>
      <c r="CR74" s="52">
        <f ca="1">EXP(-AVERAGE(CH$15:CH74)*CE74)</f>
        <v>0.84849158954664894</v>
      </c>
      <c r="CT74"/>
      <c r="CU74"/>
      <c r="CV74"/>
      <c r="CW74"/>
      <c r="CX74"/>
      <c r="CY74"/>
      <c r="CZ74"/>
      <c r="DA74"/>
      <c r="DB74"/>
      <c r="DC74"/>
      <c r="DD74"/>
      <c r="DE74"/>
      <c r="DF74"/>
      <c r="DG74"/>
      <c r="DH74"/>
      <c r="DI74"/>
      <c r="DJ74"/>
      <c r="DK74"/>
      <c r="DL74"/>
    </row>
    <row r="75" spans="2:116" ht="15.75" customHeight="1">
      <c r="B75" s="52">
        <v>6</v>
      </c>
      <c r="C75" s="52">
        <f t="shared" ref="C75:C98" ca="1" si="52">IF(D75="","",C74+1)</f>
        <v>61</v>
      </c>
      <c r="D75" s="71">
        <f t="shared" ca="1" si="16"/>
        <v>46835</v>
      </c>
      <c r="E75" s="71">
        <f t="shared" ref="E75:E98" ca="1" si="53">EDATE(D75,1)</f>
        <v>46866</v>
      </c>
      <c r="F75" s="72">
        <f t="shared" ref="F75:F98" ca="1" si="54">E75-D75</f>
        <v>31</v>
      </c>
      <c r="G75" s="73">
        <f ca="1">SUM($F$15:F75)/360</f>
        <v>5.1611111111111114</v>
      </c>
      <c r="H75" s="74">
        <f t="shared" si="2"/>
        <v>25000000</v>
      </c>
      <c r="I75" s="59">
        <f>IF('Cap Pricer'!$E$22=DataValidation!$C$2,'Cap Pricer'!$E$23,IF('Cap Pricer'!$E$22=DataValidation!$C$3,VLOOKUP($B75,'Cap Pricer'!$C$25:$E$31,3),""))</f>
        <v>0.02</v>
      </c>
      <c r="J75" s="57">
        <f>Volatilities_Resets!$E64*0.01</f>
        <v>2.9176700000000003E-2</v>
      </c>
      <c r="K75" s="61">
        <f>IF(I75=L$11,Volatilities_Resets!$AA64,IF(I75&gt;=K$11,IF(I75&lt;L$11,(((Volatilities_Resets!$AA64-Volatilities_Resets!$Y64)/50)*((Calculator!I75-Calculator!K$11)*10000)+Volatilities_Resets!$Y64)),IF(I75&gt;=K$10,IF(I75&lt;L$10,(((Volatilities_Resets!$Y64-Volatilities_Resets!$W64)/50)*((Calculator!I75-Calculator!K$10)*10000)+Volatilities_Resets!$W64)),IF(I75&gt;=K$9,IF(I75&lt;L$9,(((Volatilities_Resets!$W64-Volatilities_Resets!$U64)/50)*((Calculator!I75-Calculator!K$9)*10000)+Volatilities_Resets!$U64)),IF(I75&gt;=K$8,IF(I75&lt;L$8,(((Volatilities_Resets!$U64-Volatilities_Resets!$S64)/50)*((Calculator!I75-Calculator!K$8)*10000)+Volatilities_Resets!$S64)),IF(I75&gt;=K$7,IF(I75&lt;L$7,(((Volatilities_Resets!$S64-Volatilities_Resets!$Q64)/50)*((Calculator!I75-Calculator!K$7)*10000)+Volatilities_Resets!$Q64)),IF(I75&gt;=K$6,IF(I75&lt;L$6,(((Volatilities_Resets!$Q64-Volatilities_Resets!$O64)/50)*((Calculator!I75-Calculator!K$6)*10000)+Volatilities_Resets!$O64)),IF(I75&gt;=K$5,IF(I75&lt;L$5,(((Volatilities_Resets!$O64-Volatilities_Resets!$M64)/50)*((Calculator!I75-Calculator!K$5)*10000)+Volatilities_Resets!$M64)),IF(I75&gt;=K$4,IF(I75&lt;L$4,(((Volatilities_Resets!$M64-Volatilities_Resets!$K64)/50)*((Calculator!I75-Calculator!K$4)*10000)+Volatilities_Resets!$K64)),IF(I75&gt;=K$3,IF(I75&lt;L$3,(((Volatilities_Resets!$K64-Volatilities_Resets!$I64)/50)*((Calculator!I75-Calculator!K$3)*10000)+Volatilities_Resets!$I64)),IF(I75&gt;=K$2,IF(I75&lt;L$2,(((Volatilities_Resets!$I64-Volatilities_Resets!$G64)/50)*((Calculator!I75-Calculator!K$2)*10000)+Volatilities_Resets!$G64)),"Well, something broke...")))))))))))/10000</f>
        <v>1.1936E-2</v>
      </c>
      <c r="L75" s="47">
        <f t="shared" ca="1" si="17"/>
        <v>29188.451423932052</v>
      </c>
      <c r="M75" s="63">
        <f t="shared" ca="1" si="18"/>
        <v>1.1737787432425486E-3</v>
      </c>
      <c r="N75" s="63">
        <f t="shared" ref="N75:N98" ca="1" si="55">N74+L75</f>
        <v>2122650.5089862118</v>
      </c>
      <c r="Q75" s="63">
        <f t="shared" ca="1" si="19"/>
        <v>132.04643413063809</v>
      </c>
      <c r="R75" s="63">
        <f ca="1">SUM($Q$15:Q75)</f>
        <v>5703.3321196283814</v>
      </c>
      <c r="T75" s="52">
        <f ca="1">EXP(-AVERAGE(J$15:J75)*G75)</f>
        <v>0.84635841697336367</v>
      </c>
      <c r="U75" s="57"/>
      <c r="V75" s="52">
        <f t="shared" ca="1" si="20"/>
        <v>61</v>
      </c>
      <c r="W75" s="71">
        <f t="shared" ca="1" si="21"/>
        <v>46835</v>
      </c>
      <c r="X75" s="71">
        <f t="shared" ca="1" si="3"/>
        <v>46866</v>
      </c>
      <c r="Y75" s="72">
        <f t="shared" ca="1" si="4"/>
        <v>31</v>
      </c>
      <c r="Z75" s="73">
        <f ca="1">SUM(Y$15:Y75)/360</f>
        <v>5.1611111111111114</v>
      </c>
      <c r="AA75" s="74">
        <f t="shared" si="22"/>
        <v>25000000</v>
      </c>
      <c r="AB75" s="59">
        <f t="shared" si="23"/>
        <v>0.03</v>
      </c>
      <c r="AC75" s="57">
        <f>Volatilities_Resets!$E64*0.01</f>
        <v>2.9176700000000003E-2</v>
      </c>
      <c r="AD75" s="61">
        <f>IF(AB75=AE$11,Volatilities_Resets!$AA64,IF(AB75&gt;=AD$11,IF(AB75&lt;AE$11,(((Volatilities_Resets!$AA64-Volatilities_Resets!$Y64)/50)*((Calculator!AB75-Calculator!AD$11)*10000)+Volatilities_Resets!$Y64)),IF(AB75&gt;=AD$10,IF(AB75&lt;AE$10,(((Volatilities_Resets!$Y64-Volatilities_Resets!$W64)/50)*((Calculator!AB75-Calculator!AD$10)*10000)+Volatilities_Resets!$W64)),IF(AB75&gt;=AD$9,IF(AB75&lt;AE$9,(((Volatilities_Resets!$W64-Volatilities_Resets!$U64)/50)*((Calculator!AB75-Calculator!AD$9)*10000)+Volatilities_Resets!$U64)),IF(AB75&gt;=AD$8,IF(AB75&lt;AE$8,(((Volatilities_Resets!$U64-Volatilities_Resets!$S64)/50)*((Calculator!AB75-Calculator!AD$8)*10000)+Volatilities_Resets!$S64)),IF(AB75&gt;=AD$7,IF(AB75&lt;AE$7,(((Volatilities_Resets!$S64-Volatilities_Resets!$Q64)/50)*((Calculator!AB75-Calculator!AD$7)*10000)+Volatilities_Resets!$Q64)),IF(AB75&gt;=AD$6,IF(AB75&lt;AE$6,(((Volatilities_Resets!$Q64-Volatilities_Resets!$O64)/50)*((Calculator!AB75-Calculator!AD$6)*10000)+Volatilities_Resets!$O64)),IF(AB75&gt;=AD$5,IF(AB75&lt;AE$5,(((Volatilities_Resets!$O64-Volatilities_Resets!$M64)/50)*((Calculator!AB75-Calculator!AD$5)*10000)+Volatilities_Resets!$M64)),IF(AB75&gt;=AD$4,IF(AB75&lt;AE$4,(((Volatilities_Resets!$M64-Volatilities_Resets!$K64)/50)*((Calculator!AB75-Calculator!AD$4)*10000)+Volatilities_Resets!$K64)),IF(AB75&gt;=AD$3,IF(AB75&lt;AE$3,(((Volatilities_Resets!$K64-Volatilities_Resets!$I64)/50)*((Calculator!AB75-Calculator!AD$3)*10000)+Volatilities_Resets!$I64)),IF(AB75&gt;=AD$2,IF(AB75&lt;AE$2,(((Volatilities_Resets!$I64-Volatilities_Resets!$G64)/50)*((Calculator!AB75-Calculator!AD$2)*10000)+Volatilities_Resets!$G64)),"Well, something broke...")))))))))))/10000</f>
        <v>1.1936E-2</v>
      </c>
      <c r="AE75" s="63">
        <f t="shared" ca="1" si="24"/>
        <v>18969.383727820852</v>
      </c>
      <c r="AF75" s="63">
        <f t="shared" ca="1" si="25"/>
        <v>7.6537767062253615E-4</v>
      </c>
      <c r="AG75" s="63">
        <f t="shared" ca="1" si="45"/>
        <v>1399287.1037316476</v>
      </c>
      <c r="AJ75" s="63">
        <f t="shared" ca="1" si="26"/>
        <v>139.69825953251609</v>
      </c>
      <c r="AK75" s="63">
        <f ca="1">SUM($AJ$15:AJ75)</f>
        <v>6174.5024425526744</v>
      </c>
      <c r="AM75" s="52">
        <f ca="1">EXP(-AVERAGE(AC$15:AC75)*Z75)</f>
        <v>0.84635841697336367</v>
      </c>
      <c r="AO75" s="52">
        <f t="shared" ca="1" si="27"/>
        <v>61</v>
      </c>
      <c r="AP75" s="71">
        <f t="shared" ca="1" si="28"/>
        <v>46835</v>
      </c>
      <c r="AQ75" s="71">
        <f t="shared" ca="1" si="5"/>
        <v>46866</v>
      </c>
      <c r="AR75" s="72">
        <f t="shared" ca="1" si="6"/>
        <v>31</v>
      </c>
      <c r="AS75" s="73">
        <f ca="1">SUM(AR$15:AR75)/360</f>
        <v>5.1611111111111114</v>
      </c>
      <c r="AT75" s="74">
        <f t="shared" si="7"/>
        <v>25000000</v>
      </c>
      <c r="AU75" s="59">
        <f t="shared" si="29"/>
        <v>0.04</v>
      </c>
      <c r="AV75" s="57">
        <f>Volatilities_Resets!$E64*0.01</f>
        <v>2.9176700000000003E-2</v>
      </c>
      <c r="AW75" s="61">
        <f>IF(AU75=AX$11,Volatilities_Resets!$AA64,IF(AU75&gt;=AW$11,IF(AU75&lt;AX$11,(((Volatilities_Resets!$AA64-Volatilities_Resets!$Y64)/50)*((Calculator!AU75-Calculator!AW$11)*10000)+Volatilities_Resets!$Y64)),IF(AU75&gt;=AW$10,IF(AU75&lt;AX$10,(((Volatilities_Resets!$Y64-Volatilities_Resets!$W64)/50)*((Calculator!AU75-Calculator!AW$10)*10000)+Volatilities_Resets!$W64)),IF(AU75&gt;=AW$9,IF(AU75&lt;AX$9,(((Volatilities_Resets!$W64-Volatilities_Resets!$U64)/50)*((Calculator!AU75-Calculator!AW$9)*10000)+Volatilities_Resets!$U64)),IF(AU75&gt;=AW$8,IF(AU75&lt;AX$8,(((Volatilities_Resets!$U64-Volatilities_Resets!$S64)/50)*((Calculator!AU75-Calculator!AW$8)*10000)+Volatilities_Resets!$S64)),IF(AU75&gt;=AW$7,IF(AU75&lt;AX$7,(((Volatilities_Resets!$S64-Volatilities_Resets!$Q64)/50)*((Calculator!AU75-Calculator!AW$7)*10000)+Volatilities_Resets!$Q64)),IF(AU75&gt;=AW$6,IF(AU75&lt;AX$6,(((Volatilities_Resets!$Q64-Volatilities_Resets!$O64)/50)*((Calculator!AU75-Calculator!AW$6)*10000)+Volatilities_Resets!$O64)),IF(AU75&gt;=AW$5,IF(AU75&lt;AX$5,(((Volatilities_Resets!$O64-Volatilities_Resets!$M64)/50)*((Calculator!AU75-Calculator!AW$5)*10000)+Volatilities_Resets!$M64)),IF(AU75&gt;=AW$4,IF(AU75&lt;AX$4,(((Volatilities_Resets!$M64-Volatilities_Resets!$K64)/50)*((Calculator!AU75-Calculator!AW$4)*10000)+Volatilities_Resets!$K64)),IF(AU75&gt;=AW$3,IF(AU75&lt;AX$3,(((Volatilities_Resets!$K64-Volatilities_Resets!$I64)/50)*((Calculator!AU75-Calculator!AW$3)*10000)+Volatilities_Resets!$I64)),IF(AU75&gt;=AW$2,IF(AU75&lt;AX$2,(((Volatilities_Resets!$I64-Volatilities_Resets!$G64)/50)*((Calculator!AU75-Calculator!AW$2)*10000)+Volatilities_Resets!$G64)),"Well, something broke...")))))))))))/10000</f>
        <v>1.2485E-2</v>
      </c>
      <c r="AX75" s="63">
        <f t="shared" ca="1" si="30"/>
        <v>12239.864046798104</v>
      </c>
      <c r="AY75" s="63">
        <f t="shared" ca="1" si="31"/>
        <v>4.9573963516953657E-4</v>
      </c>
      <c r="AZ75" s="63">
        <f t="shared" ca="1" si="46"/>
        <v>851640.65845711227</v>
      </c>
      <c r="BC75" s="63">
        <f t="shared" ca="1" si="8"/>
        <v>130.02336270881256</v>
      </c>
      <c r="BD75" s="63">
        <f ca="1">SUM($BC$15:BC75)</f>
        <v>5910.88206670826</v>
      </c>
      <c r="BF75" s="52">
        <f ca="1">EXP(-AVERAGE(AV$15:AV75)*AS75)</f>
        <v>0.84635841697336367</v>
      </c>
      <c r="BH75" s="52">
        <f t="shared" ca="1" si="32"/>
        <v>61</v>
      </c>
      <c r="BI75" s="71">
        <f t="shared" ca="1" si="33"/>
        <v>46835</v>
      </c>
      <c r="BJ75" s="71">
        <f t="shared" ca="1" si="9"/>
        <v>46866</v>
      </c>
      <c r="BK75" s="72">
        <f t="shared" ca="1" si="10"/>
        <v>31</v>
      </c>
      <c r="BL75" s="73">
        <f ca="1">SUM(BK$15:BK75)/360</f>
        <v>5.1611111111111114</v>
      </c>
      <c r="BM75" s="74">
        <f t="shared" si="11"/>
        <v>25000000</v>
      </c>
      <c r="BN75" s="59">
        <f t="shared" si="34"/>
        <v>0.05</v>
      </c>
      <c r="BO75" s="57">
        <f>Volatilities_Resets!$E64*0.01</f>
        <v>2.9176700000000003E-2</v>
      </c>
      <c r="BP75" s="61">
        <f>IF(BN75=BQ$11,Volatilities_Resets!$AA64,IF(BN75&gt;=BP$11,IF(BN75&lt;BQ$11,(((Volatilities_Resets!$AA64-Volatilities_Resets!$Y64)/50)*((Calculator!BN75-Calculator!BP$11)*10000)+Volatilities_Resets!$Y64)),IF(BN75&gt;=BP$10,IF(BN75&lt;BQ$10,(((Volatilities_Resets!$Y64-Volatilities_Resets!$W64)/50)*((Calculator!BN75-Calculator!BP$10)*10000)+Volatilities_Resets!$W64)),IF(BN75&gt;=BP$9,IF(BN75&lt;BQ$9,(((Volatilities_Resets!$W64-Volatilities_Resets!$U64)/50)*((Calculator!BN75-Calculator!BP$9)*10000)+Volatilities_Resets!$U64)),IF(BN75&gt;=BP$8,IF(BN75&lt;BQ$8,(((Volatilities_Resets!$U64-Volatilities_Resets!$S64)/50)*((Calculator!BN75-Calculator!BP$8)*10000)+Volatilities_Resets!$S64)),IF(BN75&gt;=BP$7,IF(BN75&lt;BQ$7,(((Volatilities_Resets!$S64-Volatilities_Resets!$Q64)/50)*((Calculator!BN75-Calculator!BP$7)*10000)+Volatilities_Resets!$Q64)),IF(BN75&gt;=BP$6,IF(BN75&lt;BQ$6,(((Volatilities_Resets!$Q64-Volatilities_Resets!$O64)/50)*((Calculator!BN75-Calculator!BP$6)*10000)+Volatilities_Resets!$O64)),IF(BN75&gt;=BP$5,IF(BN75&lt;BQ$5,(((Volatilities_Resets!$O64-Volatilities_Resets!$M64)/50)*((Calculator!BN75-Calculator!BP$5)*10000)+Volatilities_Resets!$M64)),IF(BN75&gt;=BP$4,IF(BN75&lt;BQ$4,(((Volatilities_Resets!$M64-Volatilities_Resets!$K64)/50)*((Calculator!BN75-Calculator!BP$4)*10000)+Volatilities_Resets!$K64)),IF(BN75&gt;=BP$3,IF(BN75&lt;BQ$3,(((Volatilities_Resets!$K64-Volatilities_Resets!$I64)/50)*((Calculator!BN75-Calculator!BP$3)*10000)+Volatilities_Resets!$I64)),IF(BN75&gt;=BP$2,IF(BN75&lt;BQ$2,(((Volatilities_Resets!$I64-Volatilities_Resets!$G64)/50)*((Calculator!BN75-Calculator!BP$2)*10000)+Volatilities_Resets!$G64)),"Well, something broke...")))))))))))/10000</f>
        <v>1.3493000000000002E-2</v>
      </c>
      <c r="BQ75" s="63">
        <f t="shared" ca="1" si="35"/>
        <v>8263.3299201219361</v>
      </c>
      <c r="BR75" s="63">
        <f t="shared" ca="1" si="36"/>
        <v>3.3578643026477479E-4</v>
      </c>
      <c r="BS75" s="63">
        <f t="shared" ca="1" si="47"/>
        <v>470420.76790743653</v>
      </c>
      <c r="BV75" s="63">
        <f t="shared" ca="1" si="37"/>
        <v>111.15295887775549</v>
      </c>
      <c r="BW75" s="63">
        <f ca="1">SUM($BV$15:BV75)</f>
        <v>5070.4274376734675</v>
      </c>
      <c r="BY75" s="52">
        <f ca="1">EXP(-AVERAGE(BO$15:BO75)*BL75)</f>
        <v>0.84635841697336367</v>
      </c>
      <c r="CA75" s="52">
        <f t="shared" ca="1" si="38"/>
        <v>61</v>
      </c>
      <c r="CB75" s="71">
        <f t="shared" ca="1" si="39"/>
        <v>46835</v>
      </c>
      <c r="CC75" s="71">
        <f t="shared" ca="1" si="12"/>
        <v>46866</v>
      </c>
      <c r="CD75" s="72">
        <f t="shared" ca="1" si="13"/>
        <v>31</v>
      </c>
      <c r="CE75" s="73">
        <f ca="1">SUM(CD$15:CD75)/360</f>
        <v>5.1611111111111114</v>
      </c>
      <c r="CF75" s="74">
        <f t="shared" si="14"/>
        <v>25000000</v>
      </c>
      <c r="CG75" s="59">
        <f t="shared" si="40"/>
        <v>0.06</v>
      </c>
      <c r="CH75" s="57">
        <f>Volatilities_Resets!$E64*0.01</f>
        <v>2.9176700000000003E-2</v>
      </c>
      <c r="CI75" s="61">
        <f>IF(CG75=CJ$11,Volatilities_Resets!$AA64,IF(CG75&gt;=CI$11,IF(CG75&lt;CJ$11,(((Volatilities_Resets!$AA64-Volatilities_Resets!$Y64)/50)*((Calculator!CG75-Calculator!CI$11)*10000)+Volatilities_Resets!$Y64)),IF(CG75&gt;=CI$10,IF(CG75&lt;CJ$10,(((Volatilities_Resets!$Y64-Volatilities_Resets!$W64)/50)*((Calculator!CG75-Calculator!CI$10)*10000)+Volatilities_Resets!$W64)),IF(CG75&gt;=CI$9,IF(CG75&lt;CJ$9,(((Volatilities_Resets!$W64-Volatilities_Resets!$U64)/50)*((Calculator!CG75-Calculator!CI$9)*10000)+Volatilities_Resets!$U64)),IF(CG75&gt;=CI$8,IF(CG75&lt;CJ$8,(((Volatilities_Resets!$U64-Volatilities_Resets!$S64)/50)*((Calculator!CG75-Calculator!CI$8)*10000)+Volatilities_Resets!$S64)),IF(CG75&gt;=CI$7,IF(CG75&lt;CJ$7,(((Volatilities_Resets!$S64-Volatilities_Resets!$Q64)/50)*((Calculator!CG75-Calculator!CI$7)*10000)+Volatilities_Resets!$Q64)),IF(CG75&gt;=CI$6,IF(CG75&lt;CJ$6,(((Volatilities_Resets!$Q64-Volatilities_Resets!$O64)/50)*((Calculator!CG75-Calculator!CI$6)*10000)+Volatilities_Resets!$O64)),IF(CG75&gt;=CI$5,IF(CG75&lt;CJ$5,(((Volatilities_Resets!$O64-Volatilities_Resets!$M64)/50)*((Calculator!CG75-Calculator!CI$5)*10000)+Volatilities_Resets!$M64)),IF(CG75&gt;=CI$4,IF(CG75&lt;CJ$4,(((Volatilities_Resets!$M64-Volatilities_Resets!$K64)/50)*((Calculator!CG75-Calculator!CI$4)*10000)+Volatilities_Resets!$K64)),IF(CG75&gt;=CI$3,IF(CG75&lt;CJ$3,(((Volatilities_Resets!$K64-Volatilities_Resets!$I64)/50)*((Calculator!CG75-Calculator!CI$3)*10000)+Volatilities_Resets!$I64)),IF(CG75&gt;=CI$2,IF(CG75&lt;CJ$2,(((Volatilities_Resets!$I64-Volatilities_Resets!$G64)/50)*((Calculator!CG75-Calculator!CI$2)*10000)+Volatilities_Resets!$G64)),"Well, something broke...")))))))))))/10000</f>
        <v>1.4772E-2</v>
      </c>
      <c r="CJ75" s="63">
        <f t="shared" ca="1" si="41"/>
        <v>5935.7257345209246</v>
      </c>
      <c r="CK75" s="63">
        <f t="shared" ca="1" si="42"/>
        <v>2.4177355277824899E-4</v>
      </c>
      <c r="CL75" s="63">
        <f t="shared" ca="1" si="48"/>
        <v>273926.79454792006</v>
      </c>
      <c r="CO75" s="63">
        <f t="shared" ca="1" si="43"/>
        <v>91.925598628434244</v>
      </c>
      <c r="CP75" s="63">
        <f ca="1">SUM($CO$15:CO75)</f>
        <v>3897.3053284655948</v>
      </c>
      <c r="CR75" s="52">
        <f ca="1">EXP(-AVERAGE(CH$15:CH75)*CE75)</f>
        <v>0.84635841697336367</v>
      </c>
      <c r="CT75"/>
      <c r="CU75"/>
      <c r="CV75"/>
      <c r="CW75"/>
      <c r="CX75"/>
      <c r="CY75"/>
      <c r="CZ75"/>
      <c r="DA75"/>
      <c r="DB75"/>
      <c r="DC75"/>
      <c r="DD75"/>
      <c r="DE75"/>
      <c r="DF75"/>
      <c r="DG75"/>
      <c r="DH75"/>
      <c r="DI75"/>
      <c r="DJ75"/>
      <c r="DK75"/>
      <c r="DL75"/>
    </row>
    <row r="76" spans="2:116" ht="15.75" customHeight="1">
      <c r="B76" s="52">
        <v>6</v>
      </c>
      <c r="C76" s="52">
        <f t="shared" ca="1" si="52"/>
        <v>62</v>
      </c>
      <c r="D76" s="71">
        <f t="shared" ca="1" si="16"/>
        <v>46866</v>
      </c>
      <c r="E76" s="71">
        <f t="shared" ca="1" si="53"/>
        <v>46896</v>
      </c>
      <c r="F76" s="72">
        <f t="shared" ca="1" si="54"/>
        <v>30</v>
      </c>
      <c r="G76" s="73">
        <f ca="1">SUM($F$15:F76)/360</f>
        <v>5.2444444444444445</v>
      </c>
      <c r="H76" s="74">
        <f t="shared" si="2"/>
        <v>25000000</v>
      </c>
      <c r="I76" s="59">
        <f>IF('Cap Pricer'!$E$22=DataValidation!$C$2,'Cap Pricer'!$E$23,IF('Cap Pricer'!$E$22=DataValidation!$C$3,VLOOKUP($B76,'Cap Pricer'!$C$25:$E$31,3),""))</f>
        <v>0.02</v>
      </c>
      <c r="J76" s="57">
        <f>Volatilities_Resets!$E65*0.01</f>
        <v>2.92351E-2</v>
      </c>
      <c r="K76" s="61">
        <f>IF(I76=L$11,Volatilities_Resets!$AA65,IF(I76&gt;=K$11,IF(I76&lt;L$11,(((Volatilities_Resets!$AA65-Volatilities_Resets!$Y65)/50)*((Calculator!I76-Calculator!K$11)*10000)+Volatilities_Resets!$Y65)),IF(I76&gt;=K$10,IF(I76&lt;L$10,(((Volatilities_Resets!$Y65-Volatilities_Resets!$W65)/50)*((Calculator!I76-Calculator!K$10)*10000)+Volatilities_Resets!$W65)),IF(I76&gt;=K$9,IF(I76&lt;L$9,(((Volatilities_Resets!$W65-Volatilities_Resets!$U65)/50)*((Calculator!I76-Calculator!K$9)*10000)+Volatilities_Resets!$U65)),IF(I76&gt;=K$8,IF(I76&lt;L$8,(((Volatilities_Resets!$U65-Volatilities_Resets!$S65)/50)*((Calculator!I76-Calculator!K$8)*10000)+Volatilities_Resets!$S65)),IF(I76&gt;=K$7,IF(I76&lt;L$7,(((Volatilities_Resets!$S65-Volatilities_Resets!$Q65)/50)*((Calculator!I76-Calculator!K$7)*10000)+Volatilities_Resets!$Q65)),IF(I76&gt;=K$6,IF(I76&lt;L$6,(((Volatilities_Resets!$Q65-Volatilities_Resets!$O65)/50)*((Calculator!I76-Calculator!K$6)*10000)+Volatilities_Resets!$O65)),IF(I76&gt;=K$5,IF(I76&lt;L$5,(((Volatilities_Resets!$O65-Volatilities_Resets!$M65)/50)*((Calculator!I76-Calculator!K$5)*10000)+Volatilities_Resets!$M65)),IF(I76&gt;=K$4,IF(I76&lt;L$4,(((Volatilities_Resets!$M65-Volatilities_Resets!$K65)/50)*((Calculator!I76-Calculator!K$4)*10000)+Volatilities_Resets!$K65)),IF(I76&gt;=K$3,IF(I76&lt;L$3,(((Volatilities_Resets!$K65-Volatilities_Resets!$I65)/50)*((Calculator!I76-Calculator!K$3)*10000)+Volatilities_Resets!$I65)),IF(I76&gt;=K$2,IF(I76&lt;L$2,(((Volatilities_Resets!$I65-Volatilities_Resets!$G65)/50)*((Calculator!I76-Calculator!K$2)*10000)+Volatilities_Resets!$G65)),"Well, something broke...")))))))))))/10000</f>
        <v>1.1936E-2</v>
      </c>
      <c r="L76" s="47">
        <f t="shared" ca="1" si="17"/>
        <v>28387.725297252426</v>
      </c>
      <c r="M76" s="63">
        <f t="shared" ca="1" si="18"/>
        <v>1.1415833039224643E-3</v>
      </c>
      <c r="N76" s="63">
        <f t="shared" ca="1" si="55"/>
        <v>2151038.2342834645</v>
      </c>
      <c r="Q76" s="63">
        <f t="shared" ca="1" si="19"/>
        <v>128.2134603542514</v>
      </c>
      <c r="R76" s="63">
        <f ca="1">SUM($Q$15:Q76)</f>
        <v>5831.5455799826332</v>
      </c>
      <c r="T76" s="52">
        <f ca="1">EXP(-AVERAGE(J$15:J76)*G76)</f>
        <v>0.84430224737999116</v>
      </c>
      <c r="U76" s="57"/>
      <c r="V76" s="52">
        <f t="shared" ca="1" si="20"/>
        <v>62</v>
      </c>
      <c r="W76" s="71">
        <f t="shared" ca="1" si="21"/>
        <v>46866</v>
      </c>
      <c r="X76" s="71">
        <f t="shared" ca="1" si="3"/>
        <v>46896</v>
      </c>
      <c r="Y76" s="72">
        <f t="shared" ca="1" si="4"/>
        <v>30</v>
      </c>
      <c r="Z76" s="73">
        <f ca="1">SUM(Y$15:Y76)/360</f>
        <v>5.2444444444444445</v>
      </c>
      <c r="AA76" s="74">
        <f t="shared" si="22"/>
        <v>25000000</v>
      </c>
      <c r="AB76" s="59">
        <f t="shared" si="23"/>
        <v>0.03</v>
      </c>
      <c r="AC76" s="57">
        <f>Volatilities_Resets!$E65*0.01</f>
        <v>2.92351E-2</v>
      </c>
      <c r="AD76" s="61">
        <f>IF(AB76=AE$11,Volatilities_Resets!$AA65,IF(AB76&gt;=AD$11,IF(AB76&lt;AE$11,(((Volatilities_Resets!$AA65-Volatilities_Resets!$Y65)/50)*((Calculator!AB76-Calculator!AD$11)*10000)+Volatilities_Resets!$Y65)),IF(AB76&gt;=AD$10,IF(AB76&lt;AE$10,(((Volatilities_Resets!$Y65-Volatilities_Resets!$W65)/50)*((Calculator!AB76-Calculator!AD$10)*10000)+Volatilities_Resets!$W65)),IF(AB76&gt;=AD$9,IF(AB76&lt;AE$9,(((Volatilities_Resets!$W65-Volatilities_Resets!$U65)/50)*((Calculator!AB76-Calculator!AD$9)*10000)+Volatilities_Resets!$U65)),IF(AB76&gt;=AD$8,IF(AB76&lt;AE$8,(((Volatilities_Resets!$U65-Volatilities_Resets!$S65)/50)*((Calculator!AB76-Calculator!AD$8)*10000)+Volatilities_Resets!$S65)),IF(AB76&gt;=AD$7,IF(AB76&lt;AE$7,(((Volatilities_Resets!$S65-Volatilities_Resets!$Q65)/50)*((Calculator!AB76-Calculator!AD$7)*10000)+Volatilities_Resets!$Q65)),IF(AB76&gt;=AD$6,IF(AB76&lt;AE$6,(((Volatilities_Resets!$Q65-Volatilities_Resets!$O65)/50)*((Calculator!AB76-Calculator!AD$6)*10000)+Volatilities_Resets!$O65)),IF(AB76&gt;=AD$5,IF(AB76&lt;AE$5,(((Volatilities_Resets!$O65-Volatilities_Resets!$M65)/50)*((Calculator!AB76-Calculator!AD$5)*10000)+Volatilities_Resets!$M65)),IF(AB76&gt;=AD$4,IF(AB76&lt;AE$4,(((Volatilities_Resets!$M65-Volatilities_Resets!$K65)/50)*((Calculator!AB76-Calculator!AD$4)*10000)+Volatilities_Resets!$K65)),IF(AB76&gt;=AD$3,IF(AB76&lt;AE$3,(((Volatilities_Resets!$K65-Volatilities_Resets!$I65)/50)*((Calculator!AB76-Calculator!AD$3)*10000)+Volatilities_Resets!$I65)),IF(AB76&gt;=AD$2,IF(AB76&lt;AE$2,(((Volatilities_Resets!$I65-Volatilities_Resets!$G65)/50)*((Calculator!AB76-Calculator!AD$2)*10000)+Volatilities_Resets!$G65)),"Well, something broke...")))))))))))/10000</f>
        <v>1.1936E-2</v>
      </c>
      <c r="AE76" s="63">
        <f t="shared" ca="1" si="24"/>
        <v>18515.974399033737</v>
      </c>
      <c r="AF76" s="63">
        <f t="shared" ca="1" si="25"/>
        <v>7.4706449010964121E-4</v>
      </c>
      <c r="AG76" s="63">
        <f t="shared" ca="1" si="45"/>
        <v>1417803.0781306813</v>
      </c>
      <c r="AJ76" s="63">
        <f t="shared" ca="1" si="26"/>
        <v>135.62690089936669</v>
      </c>
      <c r="AK76" s="63">
        <f ca="1">SUM($AJ$15:AJ76)</f>
        <v>6310.1293434520412</v>
      </c>
      <c r="AM76" s="52">
        <f ca="1">EXP(-AVERAGE(AC$15:AC76)*Z76)</f>
        <v>0.84430224737999116</v>
      </c>
      <c r="AO76" s="52">
        <f t="shared" ca="1" si="27"/>
        <v>62</v>
      </c>
      <c r="AP76" s="71">
        <f t="shared" ca="1" si="28"/>
        <v>46866</v>
      </c>
      <c r="AQ76" s="71">
        <f t="shared" ca="1" si="5"/>
        <v>46896</v>
      </c>
      <c r="AR76" s="72">
        <f t="shared" ca="1" si="6"/>
        <v>30</v>
      </c>
      <c r="AS76" s="73">
        <f ca="1">SUM(AR$15:AR76)/360</f>
        <v>5.2444444444444445</v>
      </c>
      <c r="AT76" s="74">
        <f t="shared" si="7"/>
        <v>25000000</v>
      </c>
      <c r="AU76" s="59">
        <f t="shared" si="29"/>
        <v>0.04</v>
      </c>
      <c r="AV76" s="57">
        <f>Volatilities_Resets!$E65*0.01</f>
        <v>2.92351E-2</v>
      </c>
      <c r="AW76" s="61">
        <f>IF(AU76=AX$11,Volatilities_Resets!$AA65,IF(AU76&gt;=AW$11,IF(AU76&lt;AX$11,(((Volatilities_Resets!$AA65-Volatilities_Resets!$Y65)/50)*((Calculator!AU76-Calculator!AW$11)*10000)+Volatilities_Resets!$Y65)),IF(AU76&gt;=AW$10,IF(AU76&lt;AX$10,(((Volatilities_Resets!$Y65-Volatilities_Resets!$W65)/50)*((Calculator!AU76-Calculator!AW$10)*10000)+Volatilities_Resets!$W65)),IF(AU76&gt;=AW$9,IF(AU76&lt;AX$9,(((Volatilities_Resets!$W65-Volatilities_Resets!$U65)/50)*((Calculator!AU76-Calculator!AW$9)*10000)+Volatilities_Resets!$U65)),IF(AU76&gt;=AW$8,IF(AU76&lt;AX$8,(((Volatilities_Resets!$U65-Volatilities_Resets!$S65)/50)*((Calculator!AU76-Calculator!AW$8)*10000)+Volatilities_Resets!$S65)),IF(AU76&gt;=AW$7,IF(AU76&lt;AX$7,(((Volatilities_Resets!$S65-Volatilities_Resets!$Q65)/50)*((Calculator!AU76-Calculator!AW$7)*10000)+Volatilities_Resets!$Q65)),IF(AU76&gt;=AW$6,IF(AU76&lt;AX$6,(((Volatilities_Resets!$Q65-Volatilities_Resets!$O65)/50)*((Calculator!AU76-Calculator!AW$6)*10000)+Volatilities_Resets!$O65)),IF(AU76&gt;=AW$5,IF(AU76&lt;AX$5,(((Volatilities_Resets!$O65-Volatilities_Resets!$M65)/50)*((Calculator!AU76-Calculator!AW$5)*10000)+Volatilities_Resets!$M65)),IF(AU76&gt;=AW$4,IF(AU76&lt;AX$4,(((Volatilities_Resets!$M65-Volatilities_Resets!$K65)/50)*((Calculator!AU76-Calculator!AW$4)*10000)+Volatilities_Resets!$K65)),IF(AU76&gt;=AW$3,IF(AU76&lt;AX$3,(((Volatilities_Resets!$K65-Volatilities_Resets!$I65)/50)*((Calculator!AU76-Calculator!AW$3)*10000)+Volatilities_Resets!$I65)),IF(AU76&gt;=AW$2,IF(AU76&lt;AX$2,(((Volatilities_Resets!$I65-Volatilities_Resets!$G65)/50)*((Calculator!AU76-Calculator!AW$2)*10000)+Volatilities_Resets!$G65)),"Well, something broke...")))))))))))/10000</f>
        <v>1.2485E-2</v>
      </c>
      <c r="AX76" s="63">
        <f t="shared" ca="1" si="30"/>
        <v>12001.392270957052</v>
      </c>
      <c r="AY76" s="63">
        <f t="shared" ca="1" si="31"/>
        <v>4.8604723910146555E-4</v>
      </c>
      <c r="AZ76" s="63">
        <f t="shared" ca="1" si="46"/>
        <v>863642.05072806927</v>
      </c>
      <c r="BC76" s="63">
        <f t="shared" ca="1" si="8"/>
        <v>126.46694159728668</v>
      </c>
      <c r="BD76" s="63">
        <f ca="1">SUM($BC$15:BC76)</f>
        <v>6037.3490083055467</v>
      </c>
      <c r="BF76" s="52">
        <f ca="1">EXP(-AVERAGE(AV$15:AV76)*AS76)</f>
        <v>0.84430224737999116</v>
      </c>
      <c r="BH76" s="52">
        <f t="shared" ca="1" si="32"/>
        <v>62</v>
      </c>
      <c r="BI76" s="71">
        <f t="shared" ca="1" si="33"/>
        <v>46866</v>
      </c>
      <c r="BJ76" s="71">
        <f t="shared" ca="1" si="9"/>
        <v>46896</v>
      </c>
      <c r="BK76" s="72">
        <f t="shared" ca="1" si="10"/>
        <v>30</v>
      </c>
      <c r="BL76" s="73">
        <f ca="1">SUM(BK$15:BK76)/360</f>
        <v>5.2444444444444445</v>
      </c>
      <c r="BM76" s="74">
        <f t="shared" si="11"/>
        <v>25000000</v>
      </c>
      <c r="BN76" s="59">
        <f t="shared" si="34"/>
        <v>0.05</v>
      </c>
      <c r="BO76" s="57">
        <f>Volatilities_Resets!$E65*0.01</f>
        <v>2.92351E-2</v>
      </c>
      <c r="BP76" s="61">
        <f>IF(BN76=BQ$11,Volatilities_Resets!$AA65,IF(BN76&gt;=BP$11,IF(BN76&lt;BQ$11,(((Volatilities_Resets!$AA65-Volatilities_Resets!$Y65)/50)*((Calculator!BN76-Calculator!BP$11)*10000)+Volatilities_Resets!$Y65)),IF(BN76&gt;=BP$10,IF(BN76&lt;BQ$10,(((Volatilities_Resets!$Y65-Volatilities_Resets!$W65)/50)*((Calculator!BN76-Calculator!BP$10)*10000)+Volatilities_Resets!$W65)),IF(BN76&gt;=BP$9,IF(BN76&lt;BQ$9,(((Volatilities_Resets!$W65-Volatilities_Resets!$U65)/50)*((Calculator!BN76-Calculator!BP$9)*10000)+Volatilities_Resets!$U65)),IF(BN76&gt;=BP$8,IF(BN76&lt;BQ$8,(((Volatilities_Resets!$U65-Volatilities_Resets!$S65)/50)*((Calculator!BN76-Calculator!BP$8)*10000)+Volatilities_Resets!$S65)),IF(BN76&gt;=BP$7,IF(BN76&lt;BQ$7,(((Volatilities_Resets!$S65-Volatilities_Resets!$Q65)/50)*((Calculator!BN76-Calculator!BP$7)*10000)+Volatilities_Resets!$Q65)),IF(BN76&gt;=BP$6,IF(BN76&lt;BQ$6,(((Volatilities_Resets!$Q65-Volatilities_Resets!$O65)/50)*((Calculator!BN76-Calculator!BP$6)*10000)+Volatilities_Resets!$O65)),IF(BN76&gt;=BP$5,IF(BN76&lt;BQ$5,(((Volatilities_Resets!$O65-Volatilities_Resets!$M65)/50)*((Calculator!BN76-Calculator!BP$5)*10000)+Volatilities_Resets!$M65)),IF(BN76&gt;=BP$4,IF(BN76&lt;BQ$4,(((Volatilities_Resets!$M65-Volatilities_Resets!$K65)/50)*((Calculator!BN76-Calculator!BP$4)*10000)+Volatilities_Resets!$K65)),IF(BN76&gt;=BP$3,IF(BN76&lt;BQ$3,(((Volatilities_Resets!$K65-Volatilities_Resets!$I65)/50)*((Calculator!BN76-Calculator!BP$3)*10000)+Volatilities_Resets!$I65)),IF(BN76&gt;=BP$2,IF(BN76&lt;BQ$2,(((Volatilities_Resets!$I65-Volatilities_Resets!$G65)/50)*((Calculator!BN76-Calculator!BP$2)*10000)+Volatilities_Resets!$G65)),"Well, something broke...")))))))))))/10000</f>
        <v>1.3493999999999999E-2</v>
      </c>
      <c r="BQ76" s="63">
        <f t="shared" ca="1" si="35"/>
        <v>8141.9329900448174</v>
      </c>
      <c r="BR76" s="63">
        <f t="shared" ca="1" si="36"/>
        <v>3.3081481245058665E-4</v>
      </c>
      <c r="BS76" s="63">
        <f t="shared" ca="1" si="47"/>
        <v>478562.70089748135</v>
      </c>
      <c r="BV76" s="63">
        <f t="shared" ca="1" si="37"/>
        <v>108.43991895338412</v>
      </c>
      <c r="BW76" s="63">
        <f ca="1">SUM($BV$15:BV76)</f>
        <v>5178.8673566268517</v>
      </c>
      <c r="BY76" s="52">
        <f ca="1">EXP(-AVERAGE(BO$15:BO76)*BL76)</f>
        <v>0.84430224737999116</v>
      </c>
      <c r="CA76" s="52">
        <f t="shared" ca="1" si="38"/>
        <v>62</v>
      </c>
      <c r="CB76" s="71">
        <f t="shared" ca="1" si="39"/>
        <v>46866</v>
      </c>
      <c r="CC76" s="71">
        <f t="shared" ca="1" si="12"/>
        <v>46896</v>
      </c>
      <c r="CD76" s="72">
        <f t="shared" ca="1" si="13"/>
        <v>30</v>
      </c>
      <c r="CE76" s="73">
        <f ca="1">SUM(CD$15:CD76)/360</f>
        <v>5.2444444444444445</v>
      </c>
      <c r="CF76" s="74">
        <f t="shared" si="14"/>
        <v>25000000</v>
      </c>
      <c r="CG76" s="59">
        <f t="shared" si="40"/>
        <v>0.06</v>
      </c>
      <c r="CH76" s="57">
        <f>Volatilities_Resets!$E65*0.01</f>
        <v>2.92351E-2</v>
      </c>
      <c r="CI76" s="61">
        <f>IF(CG76=CJ$11,Volatilities_Resets!$AA65,IF(CG76&gt;=CI$11,IF(CG76&lt;CJ$11,(((Volatilities_Resets!$AA65-Volatilities_Resets!$Y65)/50)*((Calculator!CG76-Calculator!CI$11)*10000)+Volatilities_Resets!$Y65)),IF(CG76&gt;=CI$10,IF(CG76&lt;CJ$10,(((Volatilities_Resets!$Y65-Volatilities_Resets!$W65)/50)*((Calculator!CG76-Calculator!CI$10)*10000)+Volatilities_Resets!$W65)),IF(CG76&gt;=CI$9,IF(CG76&lt;CJ$9,(((Volatilities_Resets!$W65-Volatilities_Resets!$U65)/50)*((Calculator!CG76-Calculator!CI$9)*10000)+Volatilities_Resets!$U65)),IF(CG76&gt;=CI$8,IF(CG76&lt;CJ$8,(((Volatilities_Resets!$U65-Volatilities_Resets!$S65)/50)*((Calculator!CG76-Calculator!CI$8)*10000)+Volatilities_Resets!$S65)),IF(CG76&gt;=CI$7,IF(CG76&lt;CJ$7,(((Volatilities_Resets!$S65-Volatilities_Resets!$Q65)/50)*((Calculator!CG76-Calculator!CI$7)*10000)+Volatilities_Resets!$Q65)),IF(CG76&gt;=CI$6,IF(CG76&lt;CJ$6,(((Volatilities_Resets!$Q65-Volatilities_Resets!$O65)/50)*((Calculator!CG76-Calculator!CI$6)*10000)+Volatilities_Resets!$O65)),IF(CG76&gt;=CI$5,IF(CG76&lt;CJ$5,(((Volatilities_Resets!$O65-Volatilities_Resets!$M65)/50)*((Calculator!CG76-Calculator!CI$5)*10000)+Volatilities_Resets!$M65)),IF(CG76&gt;=CI$4,IF(CG76&lt;CJ$4,(((Volatilities_Resets!$M65-Volatilities_Resets!$K65)/50)*((Calculator!CG76-Calculator!CI$4)*10000)+Volatilities_Resets!$K65)),IF(CG76&gt;=CI$3,IF(CG76&lt;CJ$3,(((Volatilities_Resets!$K65-Volatilities_Resets!$I65)/50)*((Calculator!CG76-Calculator!CI$3)*10000)+Volatilities_Resets!$I65)),IF(CG76&gt;=CI$2,IF(CG76&lt;CJ$2,(((Volatilities_Resets!$I65-Volatilities_Resets!$G65)/50)*((Calculator!CG76-Calculator!CI$2)*10000)+Volatilities_Resets!$G65)),"Well, something broke...")))))))))))/10000</f>
        <v>1.4772E-2</v>
      </c>
      <c r="CJ76" s="63">
        <f t="shared" ca="1" si="41"/>
        <v>5873.5341351028555</v>
      </c>
      <c r="CK76" s="63">
        <f t="shared" ca="1" si="42"/>
        <v>2.3920414172478953E-4</v>
      </c>
      <c r="CL76" s="63">
        <f t="shared" ca="1" si="48"/>
        <v>279800.32868302293</v>
      </c>
      <c r="CO76" s="63">
        <f t="shared" ca="1" si="43"/>
        <v>89.97679069060915</v>
      </c>
      <c r="CP76" s="63">
        <f ca="1">SUM($CO$15:CO76)</f>
        <v>3987.2821191562039</v>
      </c>
      <c r="CR76" s="52">
        <f ca="1">EXP(-AVERAGE(CH$15:CH76)*CE76)</f>
        <v>0.84430224737999116</v>
      </c>
      <c r="CT76"/>
      <c r="CU76"/>
      <c r="CV76"/>
      <c r="CW76"/>
      <c r="CX76"/>
      <c r="CY76"/>
      <c r="CZ76"/>
      <c r="DA76"/>
      <c r="DB76"/>
      <c r="DC76"/>
      <c r="DD76"/>
      <c r="DE76"/>
      <c r="DF76"/>
      <c r="DG76"/>
      <c r="DH76"/>
      <c r="DI76"/>
      <c r="DJ76"/>
      <c r="DK76"/>
      <c r="DL76"/>
    </row>
    <row r="77" spans="2:116" ht="15.75" customHeight="1">
      <c r="B77" s="52">
        <v>6</v>
      </c>
      <c r="C77" s="52">
        <f t="shared" ca="1" si="52"/>
        <v>63</v>
      </c>
      <c r="D77" s="71">
        <f t="shared" ca="1" si="16"/>
        <v>46896</v>
      </c>
      <c r="E77" s="71">
        <f t="shared" ca="1" si="53"/>
        <v>46927</v>
      </c>
      <c r="F77" s="72">
        <f t="shared" ca="1" si="54"/>
        <v>31</v>
      </c>
      <c r="G77" s="73">
        <f ca="1">SUM($F$15:F77)/360</f>
        <v>5.3305555555555557</v>
      </c>
      <c r="H77" s="74">
        <f t="shared" si="2"/>
        <v>25000000</v>
      </c>
      <c r="I77" s="59">
        <f>IF('Cap Pricer'!$E$22=DataValidation!$C$2,'Cap Pricer'!$E$23,IF('Cap Pricer'!$E$22=DataValidation!$C$3,VLOOKUP($B77,'Cap Pricer'!$C$25:$E$31,3),""))</f>
        <v>0.02</v>
      </c>
      <c r="J77" s="57">
        <f>Volatilities_Resets!$E66*0.01</f>
        <v>2.92375E-2</v>
      </c>
      <c r="K77" s="61">
        <f>IF(I77=L$11,Volatilities_Resets!$AA66,IF(I77&gt;=K$11,IF(I77&lt;L$11,(((Volatilities_Resets!$AA66-Volatilities_Resets!$Y66)/50)*((Calculator!I77-Calculator!K$11)*10000)+Volatilities_Resets!$Y66)),IF(I77&gt;=K$10,IF(I77&lt;L$10,(((Volatilities_Resets!$Y66-Volatilities_Resets!$W66)/50)*((Calculator!I77-Calculator!K$10)*10000)+Volatilities_Resets!$W66)),IF(I77&gt;=K$9,IF(I77&lt;L$9,(((Volatilities_Resets!$W66-Volatilities_Resets!$U66)/50)*((Calculator!I77-Calculator!K$9)*10000)+Volatilities_Resets!$U66)),IF(I77&gt;=K$8,IF(I77&lt;L$8,(((Volatilities_Resets!$U66-Volatilities_Resets!$S66)/50)*((Calculator!I77-Calculator!K$8)*10000)+Volatilities_Resets!$S66)),IF(I77&gt;=K$7,IF(I77&lt;L$7,(((Volatilities_Resets!$S66-Volatilities_Resets!$Q66)/50)*((Calculator!I77-Calculator!K$7)*10000)+Volatilities_Resets!$Q66)),IF(I77&gt;=K$6,IF(I77&lt;L$6,(((Volatilities_Resets!$Q66-Volatilities_Resets!$O66)/50)*((Calculator!I77-Calculator!K$6)*10000)+Volatilities_Resets!$O66)),IF(I77&gt;=K$5,IF(I77&lt;L$5,(((Volatilities_Resets!$O66-Volatilities_Resets!$M66)/50)*((Calculator!I77-Calculator!K$5)*10000)+Volatilities_Resets!$M66)),IF(I77&gt;=K$4,IF(I77&lt;L$4,(((Volatilities_Resets!$M66-Volatilities_Resets!$K66)/50)*((Calculator!I77-Calculator!K$4)*10000)+Volatilities_Resets!$K66)),IF(I77&gt;=K$3,IF(I77&lt;L$3,(((Volatilities_Resets!$K66-Volatilities_Resets!$I66)/50)*((Calculator!I77-Calculator!K$3)*10000)+Volatilities_Resets!$I66)),IF(I77&gt;=K$2,IF(I77&lt;L$2,(((Volatilities_Resets!$I66-Volatilities_Resets!$G66)/50)*((Calculator!I77-Calculator!K$2)*10000)+Volatilities_Resets!$G66)),"Well, something broke...")))))))))))/10000</f>
        <v>1.1936E-2</v>
      </c>
      <c r="L77" s="47">
        <f t="shared" ca="1" si="17"/>
        <v>29415.589903904969</v>
      </c>
      <c r="M77" s="63">
        <f t="shared" ca="1" si="18"/>
        <v>1.1829413358160658E-3</v>
      </c>
      <c r="N77" s="63">
        <f t="shared" ca="1" si="55"/>
        <v>2180453.8241873696</v>
      </c>
      <c r="Q77" s="63">
        <f t="shared" ca="1" si="19"/>
        <v>133.01612523854362</v>
      </c>
      <c r="R77" s="63">
        <f ca="1">SUM($Q$15:Q77)</f>
        <v>5964.5617052211765</v>
      </c>
      <c r="T77" s="52">
        <f ca="1">EXP(-AVERAGE(J$15:J77)*G77)</f>
        <v>0.84217541335879065</v>
      </c>
      <c r="U77" s="57"/>
      <c r="V77" s="52">
        <f t="shared" ca="1" si="20"/>
        <v>63</v>
      </c>
      <c r="W77" s="71">
        <f t="shared" ca="1" si="21"/>
        <v>46896</v>
      </c>
      <c r="X77" s="71">
        <f t="shared" ca="1" si="3"/>
        <v>46927</v>
      </c>
      <c r="Y77" s="72">
        <f t="shared" ca="1" si="4"/>
        <v>31</v>
      </c>
      <c r="Z77" s="73">
        <f ca="1">SUM(Y$15:Y77)/360</f>
        <v>5.3305555555555557</v>
      </c>
      <c r="AA77" s="74">
        <f t="shared" si="22"/>
        <v>25000000</v>
      </c>
      <c r="AB77" s="59">
        <f t="shared" si="23"/>
        <v>0.03</v>
      </c>
      <c r="AC77" s="57">
        <f>Volatilities_Resets!$E66*0.01</f>
        <v>2.92375E-2</v>
      </c>
      <c r="AD77" s="61">
        <f>IF(AB77=AE$11,Volatilities_Resets!$AA66,IF(AB77&gt;=AD$11,IF(AB77&lt;AE$11,(((Volatilities_Resets!$AA66-Volatilities_Resets!$Y66)/50)*((Calculator!AB77-Calculator!AD$11)*10000)+Volatilities_Resets!$Y66)),IF(AB77&gt;=AD$10,IF(AB77&lt;AE$10,(((Volatilities_Resets!$Y66-Volatilities_Resets!$W66)/50)*((Calculator!AB77-Calculator!AD$10)*10000)+Volatilities_Resets!$W66)),IF(AB77&gt;=AD$9,IF(AB77&lt;AE$9,(((Volatilities_Resets!$W66-Volatilities_Resets!$U66)/50)*((Calculator!AB77-Calculator!AD$9)*10000)+Volatilities_Resets!$U66)),IF(AB77&gt;=AD$8,IF(AB77&lt;AE$8,(((Volatilities_Resets!$U66-Volatilities_Resets!$S66)/50)*((Calculator!AB77-Calculator!AD$8)*10000)+Volatilities_Resets!$S66)),IF(AB77&gt;=AD$7,IF(AB77&lt;AE$7,(((Volatilities_Resets!$S66-Volatilities_Resets!$Q66)/50)*((Calculator!AB77-Calculator!AD$7)*10000)+Volatilities_Resets!$Q66)),IF(AB77&gt;=AD$6,IF(AB77&lt;AE$6,(((Volatilities_Resets!$Q66-Volatilities_Resets!$O66)/50)*((Calculator!AB77-Calculator!AD$6)*10000)+Volatilities_Resets!$O66)),IF(AB77&gt;=AD$5,IF(AB77&lt;AE$5,(((Volatilities_Resets!$O66-Volatilities_Resets!$M66)/50)*((Calculator!AB77-Calculator!AD$5)*10000)+Volatilities_Resets!$M66)),IF(AB77&gt;=AD$4,IF(AB77&lt;AE$4,(((Volatilities_Resets!$M66-Volatilities_Resets!$K66)/50)*((Calculator!AB77-Calculator!AD$4)*10000)+Volatilities_Resets!$K66)),IF(AB77&gt;=AD$3,IF(AB77&lt;AE$3,(((Volatilities_Resets!$K66-Volatilities_Resets!$I66)/50)*((Calculator!AB77-Calculator!AD$3)*10000)+Volatilities_Resets!$I66)),IF(AB77&gt;=AD$2,IF(AB77&lt;AE$2,(((Volatilities_Resets!$I66-Volatilities_Resets!$G66)/50)*((Calculator!AB77-Calculator!AD$2)*10000)+Volatilities_Resets!$G66)),"Well, something broke...")))))))))))/10000</f>
        <v>1.1936E-2</v>
      </c>
      <c r="AE77" s="63">
        <f t="shared" ca="1" si="24"/>
        <v>19248.69194842533</v>
      </c>
      <c r="AF77" s="63">
        <f t="shared" ca="1" si="25"/>
        <v>7.7662485960343136E-4</v>
      </c>
      <c r="AG77" s="63">
        <f t="shared" ca="1" si="45"/>
        <v>1437051.7700791066</v>
      </c>
      <c r="AJ77" s="63">
        <f t="shared" ca="1" si="26"/>
        <v>140.58395574968716</v>
      </c>
      <c r="AK77" s="63">
        <f ca="1">SUM($AJ$15:AJ77)</f>
        <v>6450.7132992017287</v>
      </c>
      <c r="AM77" s="52">
        <f ca="1">EXP(-AVERAGE(AC$15:AC77)*Z77)</f>
        <v>0.84217541335879065</v>
      </c>
      <c r="AO77" s="52">
        <f t="shared" ca="1" si="27"/>
        <v>63</v>
      </c>
      <c r="AP77" s="71">
        <f t="shared" ca="1" si="28"/>
        <v>46896</v>
      </c>
      <c r="AQ77" s="71">
        <f t="shared" ca="1" si="5"/>
        <v>46927</v>
      </c>
      <c r="AR77" s="72">
        <f t="shared" ca="1" si="6"/>
        <v>31</v>
      </c>
      <c r="AS77" s="73">
        <f ca="1">SUM(AR$15:AR77)/360</f>
        <v>5.3305555555555557</v>
      </c>
      <c r="AT77" s="74">
        <f t="shared" si="7"/>
        <v>25000000</v>
      </c>
      <c r="AU77" s="59">
        <f t="shared" si="29"/>
        <v>0.04</v>
      </c>
      <c r="AV77" s="57">
        <f>Volatilities_Resets!$E66*0.01</f>
        <v>2.92375E-2</v>
      </c>
      <c r="AW77" s="61">
        <f>IF(AU77=AX$11,Volatilities_Resets!$AA66,IF(AU77&gt;=AW$11,IF(AU77&lt;AX$11,(((Volatilities_Resets!$AA66-Volatilities_Resets!$Y66)/50)*((Calculator!AU77-Calculator!AW$11)*10000)+Volatilities_Resets!$Y66)),IF(AU77&gt;=AW$10,IF(AU77&lt;AX$10,(((Volatilities_Resets!$Y66-Volatilities_Resets!$W66)/50)*((Calculator!AU77-Calculator!AW$10)*10000)+Volatilities_Resets!$W66)),IF(AU77&gt;=AW$9,IF(AU77&lt;AX$9,(((Volatilities_Resets!$W66-Volatilities_Resets!$U66)/50)*((Calculator!AU77-Calculator!AW$9)*10000)+Volatilities_Resets!$U66)),IF(AU77&gt;=AW$8,IF(AU77&lt;AX$8,(((Volatilities_Resets!$U66-Volatilities_Resets!$S66)/50)*((Calculator!AU77-Calculator!AW$8)*10000)+Volatilities_Resets!$S66)),IF(AU77&gt;=AW$7,IF(AU77&lt;AX$7,(((Volatilities_Resets!$S66-Volatilities_Resets!$Q66)/50)*((Calculator!AU77-Calculator!AW$7)*10000)+Volatilities_Resets!$Q66)),IF(AU77&gt;=AW$6,IF(AU77&lt;AX$6,(((Volatilities_Resets!$Q66-Volatilities_Resets!$O66)/50)*((Calculator!AU77-Calculator!AW$6)*10000)+Volatilities_Resets!$O66)),IF(AU77&gt;=AW$5,IF(AU77&lt;AX$5,(((Volatilities_Resets!$O66-Volatilities_Resets!$M66)/50)*((Calculator!AU77-Calculator!AW$5)*10000)+Volatilities_Resets!$M66)),IF(AU77&gt;=AW$4,IF(AU77&lt;AX$4,(((Volatilities_Resets!$M66-Volatilities_Resets!$K66)/50)*((Calculator!AU77-Calculator!AW$4)*10000)+Volatilities_Resets!$K66)),IF(AU77&gt;=AW$3,IF(AU77&lt;AX$3,(((Volatilities_Resets!$K66-Volatilities_Resets!$I66)/50)*((Calculator!AU77-Calculator!AW$3)*10000)+Volatilities_Resets!$I66)),IF(AU77&gt;=AW$2,IF(AU77&lt;AX$2,(((Volatilities_Resets!$I66-Volatilities_Resets!$G66)/50)*((Calculator!AU77-Calculator!AW$2)*10000)+Volatilities_Resets!$G66)),"Well, something broke...")))))))))))/10000</f>
        <v>1.2485E-2</v>
      </c>
      <c r="AX77" s="63">
        <f t="shared" ca="1" si="30"/>
        <v>12529.348118853539</v>
      </c>
      <c r="AY77" s="63">
        <f t="shared" ca="1" si="31"/>
        <v>5.0740735796756182E-4</v>
      </c>
      <c r="AZ77" s="63">
        <f t="shared" ca="1" si="46"/>
        <v>876171.39884692279</v>
      </c>
      <c r="BC77" s="63">
        <f t="shared" ca="1" si="8"/>
        <v>131.24110482891504</v>
      </c>
      <c r="BD77" s="63">
        <f ca="1">SUM($BC$15:BC77)</f>
        <v>6168.5901131344617</v>
      </c>
      <c r="BF77" s="52">
        <f ca="1">EXP(-AVERAGE(AV$15:AV77)*AS77)</f>
        <v>0.84217541335879065</v>
      </c>
      <c r="BH77" s="52">
        <f t="shared" ca="1" si="32"/>
        <v>63</v>
      </c>
      <c r="BI77" s="71">
        <f t="shared" ca="1" si="33"/>
        <v>46896</v>
      </c>
      <c r="BJ77" s="71">
        <f t="shared" ca="1" si="9"/>
        <v>46927</v>
      </c>
      <c r="BK77" s="72">
        <f t="shared" ca="1" si="10"/>
        <v>31</v>
      </c>
      <c r="BL77" s="73">
        <f ca="1">SUM(BK$15:BK77)/360</f>
        <v>5.3305555555555557</v>
      </c>
      <c r="BM77" s="74">
        <f t="shared" si="11"/>
        <v>25000000</v>
      </c>
      <c r="BN77" s="59">
        <f t="shared" si="34"/>
        <v>0.05</v>
      </c>
      <c r="BO77" s="57">
        <f>Volatilities_Resets!$E66*0.01</f>
        <v>2.92375E-2</v>
      </c>
      <c r="BP77" s="61">
        <f>IF(BN77=BQ$11,Volatilities_Resets!$AA66,IF(BN77&gt;=BP$11,IF(BN77&lt;BQ$11,(((Volatilities_Resets!$AA66-Volatilities_Resets!$Y66)/50)*((Calculator!BN77-Calculator!BP$11)*10000)+Volatilities_Resets!$Y66)),IF(BN77&gt;=BP$10,IF(BN77&lt;BQ$10,(((Volatilities_Resets!$Y66-Volatilities_Resets!$W66)/50)*((Calculator!BN77-Calculator!BP$10)*10000)+Volatilities_Resets!$W66)),IF(BN77&gt;=BP$9,IF(BN77&lt;BQ$9,(((Volatilities_Resets!$W66-Volatilities_Resets!$U66)/50)*((Calculator!BN77-Calculator!BP$9)*10000)+Volatilities_Resets!$U66)),IF(BN77&gt;=BP$8,IF(BN77&lt;BQ$8,(((Volatilities_Resets!$U66-Volatilities_Resets!$S66)/50)*((Calculator!BN77-Calculator!BP$8)*10000)+Volatilities_Resets!$S66)),IF(BN77&gt;=BP$7,IF(BN77&lt;BQ$7,(((Volatilities_Resets!$S66-Volatilities_Resets!$Q66)/50)*((Calculator!BN77-Calculator!BP$7)*10000)+Volatilities_Resets!$Q66)),IF(BN77&gt;=BP$6,IF(BN77&lt;BQ$6,(((Volatilities_Resets!$Q66-Volatilities_Resets!$O66)/50)*((Calculator!BN77-Calculator!BP$6)*10000)+Volatilities_Resets!$O66)),IF(BN77&gt;=BP$5,IF(BN77&lt;BQ$5,(((Volatilities_Resets!$O66-Volatilities_Resets!$M66)/50)*((Calculator!BN77-Calculator!BP$5)*10000)+Volatilities_Resets!$M66)),IF(BN77&gt;=BP$4,IF(BN77&lt;BQ$4,(((Volatilities_Resets!$M66-Volatilities_Resets!$K66)/50)*((Calculator!BN77-Calculator!BP$4)*10000)+Volatilities_Resets!$K66)),IF(BN77&gt;=BP$3,IF(BN77&lt;BQ$3,(((Volatilities_Resets!$K66-Volatilities_Resets!$I66)/50)*((Calculator!BN77-Calculator!BP$3)*10000)+Volatilities_Resets!$I66)),IF(BN77&gt;=BP$2,IF(BN77&lt;BQ$2,(((Volatilities_Resets!$I66-Volatilities_Resets!$G66)/50)*((Calculator!BN77-Calculator!BP$2)*10000)+Volatilities_Resets!$G66)),"Well, something broke...")))))))))))/10000</f>
        <v>1.3493000000000002E-2</v>
      </c>
      <c r="BQ77" s="63">
        <f t="shared" ca="1" si="35"/>
        <v>8537.984851530171</v>
      </c>
      <c r="BR77" s="63">
        <f t="shared" ca="1" si="36"/>
        <v>3.4687752081615821E-4</v>
      </c>
      <c r="BS77" s="63">
        <f t="shared" ca="1" si="47"/>
        <v>487100.68574901152</v>
      </c>
      <c r="BV77" s="63">
        <f t="shared" ca="1" si="37"/>
        <v>112.81206536699941</v>
      </c>
      <c r="BW77" s="63">
        <f ca="1">SUM($BV$15:BV77)</f>
        <v>5291.6794219938511</v>
      </c>
      <c r="BY77" s="52">
        <f ca="1">EXP(-AVERAGE(BO$15:BO77)*BL77)</f>
        <v>0.84217541335879065</v>
      </c>
      <c r="CA77" s="52">
        <f t="shared" ca="1" si="38"/>
        <v>63</v>
      </c>
      <c r="CB77" s="71">
        <f t="shared" ca="1" si="39"/>
        <v>46896</v>
      </c>
      <c r="CC77" s="71">
        <f t="shared" ca="1" si="12"/>
        <v>46927</v>
      </c>
      <c r="CD77" s="72">
        <f t="shared" ca="1" si="13"/>
        <v>31</v>
      </c>
      <c r="CE77" s="73">
        <f ca="1">SUM(CD$15:CD77)/360</f>
        <v>5.3305555555555557</v>
      </c>
      <c r="CF77" s="74">
        <f t="shared" si="14"/>
        <v>25000000</v>
      </c>
      <c r="CG77" s="59">
        <f t="shared" si="40"/>
        <v>0.06</v>
      </c>
      <c r="CH77" s="57">
        <f>Volatilities_Resets!$E66*0.01</f>
        <v>2.92375E-2</v>
      </c>
      <c r="CI77" s="61">
        <f>IF(CG77=CJ$11,Volatilities_Resets!$AA66,IF(CG77&gt;=CI$11,IF(CG77&lt;CJ$11,(((Volatilities_Resets!$AA66-Volatilities_Resets!$Y66)/50)*((Calculator!CG77-Calculator!CI$11)*10000)+Volatilities_Resets!$Y66)),IF(CG77&gt;=CI$10,IF(CG77&lt;CJ$10,(((Volatilities_Resets!$Y66-Volatilities_Resets!$W66)/50)*((Calculator!CG77-Calculator!CI$10)*10000)+Volatilities_Resets!$W66)),IF(CG77&gt;=CI$9,IF(CG77&lt;CJ$9,(((Volatilities_Resets!$W66-Volatilities_Resets!$U66)/50)*((Calculator!CG77-Calculator!CI$9)*10000)+Volatilities_Resets!$U66)),IF(CG77&gt;=CI$8,IF(CG77&lt;CJ$8,(((Volatilities_Resets!$U66-Volatilities_Resets!$S66)/50)*((Calculator!CG77-Calculator!CI$8)*10000)+Volatilities_Resets!$S66)),IF(CG77&gt;=CI$7,IF(CG77&lt;CJ$7,(((Volatilities_Resets!$S66-Volatilities_Resets!$Q66)/50)*((Calculator!CG77-Calculator!CI$7)*10000)+Volatilities_Resets!$Q66)),IF(CG77&gt;=CI$6,IF(CG77&lt;CJ$6,(((Volatilities_Resets!$Q66-Volatilities_Resets!$O66)/50)*((Calculator!CG77-Calculator!CI$6)*10000)+Volatilities_Resets!$O66)),IF(CG77&gt;=CI$5,IF(CG77&lt;CJ$5,(((Volatilities_Resets!$O66-Volatilities_Resets!$M66)/50)*((Calculator!CG77-Calculator!CI$5)*10000)+Volatilities_Resets!$M66)),IF(CG77&gt;=CI$4,IF(CG77&lt;CJ$4,(((Volatilities_Resets!$M66-Volatilities_Resets!$K66)/50)*((Calculator!CG77-Calculator!CI$4)*10000)+Volatilities_Resets!$K66)),IF(CG77&gt;=CI$3,IF(CG77&lt;CJ$3,(((Volatilities_Resets!$K66-Volatilities_Resets!$I66)/50)*((Calculator!CG77-Calculator!CI$3)*10000)+Volatilities_Resets!$I66)),IF(CG77&gt;=CI$2,IF(CG77&lt;CJ$2,(((Volatilities_Resets!$I66-Volatilities_Resets!$G66)/50)*((Calculator!CG77-Calculator!CI$2)*10000)+Volatilities_Resets!$G66)),"Well, something broke...")))))))))))/10000</f>
        <v>1.4772E-2</v>
      </c>
      <c r="CJ77" s="63">
        <f t="shared" ca="1" si="41"/>
        <v>6187.575048804274</v>
      </c>
      <c r="CK77" s="63">
        <f t="shared" ca="1" si="42"/>
        <v>2.5196247065270187E-4</v>
      </c>
      <c r="CL77" s="63">
        <f t="shared" ca="1" si="48"/>
        <v>285987.90373182722</v>
      </c>
      <c r="CO77" s="63">
        <f t="shared" ca="1" si="43"/>
        <v>93.891372405755433</v>
      </c>
      <c r="CP77" s="63">
        <f ca="1">SUM($CO$15:CO77)</f>
        <v>4081.1734915619595</v>
      </c>
      <c r="CR77" s="52">
        <f ca="1">EXP(-AVERAGE(CH$15:CH77)*CE77)</f>
        <v>0.84217541335879065</v>
      </c>
      <c r="CT77"/>
      <c r="CU77"/>
      <c r="CV77"/>
      <c r="CW77"/>
      <c r="CX77"/>
      <c r="CY77"/>
      <c r="CZ77"/>
      <c r="DA77"/>
      <c r="DB77"/>
      <c r="DC77"/>
      <c r="DD77"/>
      <c r="DE77"/>
      <c r="DF77"/>
      <c r="DG77"/>
      <c r="DH77"/>
      <c r="DI77"/>
      <c r="DJ77"/>
      <c r="DK77"/>
      <c r="DL77"/>
    </row>
    <row r="78" spans="2:116" ht="15.75" customHeight="1">
      <c r="B78" s="52">
        <v>6</v>
      </c>
      <c r="C78" s="52">
        <f t="shared" ca="1" si="52"/>
        <v>64</v>
      </c>
      <c r="D78" s="71">
        <f t="shared" ca="1" si="16"/>
        <v>46927</v>
      </c>
      <c r="E78" s="71">
        <f t="shared" ca="1" si="53"/>
        <v>46957</v>
      </c>
      <c r="F78" s="72">
        <f t="shared" ca="1" si="54"/>
        <v>30</v>
      </c>
      <c r="G78" s="73">
        <f ca="1">SUM($F$15:F78)/360</f>
        <v>5.4138888888888888</v>
      </c>
      <c r="H78" s="74">
        <f t="shared" si="2"/>
        <v>25000000</v>
      </c>
      <c r="I78" s="59">
        <f>IF('Cap Pricer'!$E$22=DataValidation!$C$2,'Cap Pricer'!$E$23,IF('Cap Pricer'!$E$22=DataValidation!$C$3,VLOOKUP($B78,'Cap Pricer'!$C$25:$E$31,3),""))</f>
        <v>0.02</v>
      </c>
      <c r="J78" s="57">
        <f>Volatilities_Resets!$E67*0.01</f>
        <v>2.92351E-2</v>
      </c>
      <c r="K78" s="61">
        <f>IF(I78=L$11,Volatilities_Resets!$AA67,IF(I78&gt;=K$11,IF(I78&lt;L$11,(((Volatilities_Resets!$AA67-Volatilities_Resets!$Y67)/50)*((Calculator!I78-Calculator!K$11)*10000)+Volatilities_Resets!$Y67)),IF(I78&gt;=K$10,IF(I78&lt;L$10,(((Volatilities_Resets!$Y67-Volatilities_Resets!$W67)/50)*((Calculator!I78-Calculator!K$10)*10000)+Volatilities_Resets!$W67)),IF(I78&gt;=K$9,IF(I78&lt;L$9,(((Volatilities_Resets!$W67-Volatilities_Resets!$U67)/50)*((Calculator!I78-Calculator!K$9)*10000)+Volatilities_Resets!$U67)),IF(I78&gt;=K$8,IF(I78&lt;L$8,(((Volatilities_Resets!$U67-Volatilities_Resets!$S67)/50)*((Calculator!I78-Calculator!K$8)*10000)+Volatilities_Resets!$S67)),IF(I78&gt;=K$7,IF(I78&lt;L$7,(((Volatilities_Resets!$S67-Volatilities_Resets!$Q67)/50)*((Calculator!I78-Calculator!K$7)*10000)+Volatilities_Resets!$Q67)),IF(I78&gt;=K$6,IF(I78&lt;L$6,(((Volatilities_Resets!$Q67-Volatilities_Resets!$O67)/50)*((Calculator!I78-Calculator!K$6)*10000)+Volatilities_Resets!$O67)),IF(I78&gt;=K$5,IF(I78&lt;L$5,(((Volatilities_Resets!$O67-Volatilities_Resets!$M67)/50)*((Calculator!I78-Calculator!K$5)*10000)+Volatilities_Resets!$M67)),IF(I78&gt;=K$4,IF(I78&lt;L$4,(((Volatilities_Resets!$M67-Volatilities_Resets!$K67)/50)*((Calculator!I78-Calculator!K$4)*10000)+Volatilities_Resets!$K67)),IF(I78&gt;=K$3,IF(I78&lt;L$3,(((Volatilities_Resets!$K67-Volatilities_Resets!$I67)/50)*((Calculator!I78-Calculator!K$3)*10000)+Volatilities_Resets!$I67)),IF(I78&gt;=K$2,IF(I78&lt;L$2,(((Volatilities_Resets!$I67-Volatilities_Resets!$G67)/50)*((Calculator!I78-Calculator!K$2)*10000)+Volatilities_Resets!$G67)),"Well, something broke...")))))))))))/10000</f>
        <v>1.1936E-2</v>
      </c>
      <c r="L78" s="47">
        <f t="shared" ca="1" si="17"/>
        <v>28536.594088344948</v>
      </c>
      <c r="M78" s="63">
        <f t="shared" ca="1" si="18"/>
        <v>1.1476157889105877E-3</v>
      </c>
      <c r="N78" s="63">
        <f t="shared" ca="1" si="55"/>
        <v>2208990.4182757144</v>
      </c>
      <c r="Q78" s="63">
        <f t="shared" ca="1" si="19"/>
        <v>129.21242139874482</v>
      </c>
      <c r="R78" s="63">
        <f ca="1">SUM($Q$15:Q78)</f>
        <v>6093.7741266199209</v>
      </c>
      <c r="T78" s="52">
        <f ca="1">EXP(-AVERAGE(J$15:J78)*G78)</f>
        <v>0.84012931342080666</v>
      </c>
      <c r="U78" s="57"/>
      <c r="V78" s="52">
        <f t="shared" ca="1" si="20"/>
        <v>64</v>
      </c>
      <c r="W78" s="71">
        <f t="shared" ca="1" si="21"/>
        <v>46927</v>
      </c>
      <c r="X78" s="71">
        <f t="shared" ca="1" si="3"/>
        <v>46957</v>
      </c>
      <c r="Y78" s="72">
        <f t="shared" ca="1" si="4"/>
        <v>30</v>
      </c>
      <c r="Z78" s="73">
        <f ca="1">SUM(Y$15:Y78)/360</f>
        <v>5.4138888888888888</v>
      </c>
      <c r="AA78" s="74">
        <f t="shared" si="22"/>
        <v>25000000</v>
      </c>
      <c r="AB78" s="59">
        <f t="shared" si="23"/>
        <v>0.03</v>
      </c>
      <c r="AC78" s="57">
        <f>Volatilities_Resets!$E67*0.01</f>
        <v>2.92351E-2</v>
      </c>
      <c r="AD78" s="61">
        <f>IF(AB78=AE$11,Volatilities_Resets!$AA67,IF(AB78&gt;=AD$11,IF(AB78&lt;AE$11,(((Volatilities_Resets!$AA67-Volatilities_Resets!$Y67)/50)*((Calculator!AB78-Calculator!AD$11)*10000)+Volatilities_Resets!$Y67)),IF(AB78&gt;=AD$10,IF(AB78&lt;AE$10,(((Volatilities_Resets!$Y67-Volatilities_Resets!$W67)/50)*((Calculator!AB78-Calculator!AD$10)*10000)+Volatilities_Resets!$W67)),IF(AB78&gt;=AD$9,IF(AB78&lt;AE$9,(((Volatilities_Resets!$W67-Volatilities_Resets!$U67)/50)*((Calculator!AB78-Calculator!AD$9)*10000)+Volatilities_Resets!$U67)),IF(AB78&gt;=AD$8,IF(AB78&lt;AE$8,(((Volatilities_Resets!$U67-Volatilities_Resets!$S67)/50)*((Calculator!AB78-Calculator!AD$8)*10000)+Volatilities_Resets!$S67)),IF(AB78&gt;=AD$7,IF(AB78&lt;AE$7,(((Volatilities_Resets!$S67-Volatilities_Resets!$Q67)/50)*((Calculator!AB78-Calculator!AD$7)*10000)+Volatilities_Resets!$Q67)),IF(AB78&gt;=AD$6,IF(AB78&lt;AE$6,(((Volatilities_Resets!$Q67-Volatilities_Resets!$O67)/50)*((Calculator!AB78-Calculator!AD$6)*10000)+Volatilities_Resets!$O67)),IF(AB78&gt;=AD$5,IF(AB78&lt;AE$5,(((Volatilities_Resets!$O67-Volatilities_Resets!$M67)/50)*((Calculator!AB78-Calculator!AD$5)*10000)+Volatilities_Resets!$M67)),IF(AB78&gt;=AD$4,IF(AB78&lt;AE$4,(((Volatilities_Resets!$M67-Volatilities_Resets!$K67)/50)*((Calculator!AB78-Calculator!AD$4)*10000)+Volatilities_Resets!$K67)),IF(AB78&gt;=AD$3,IF(AB78&lt;AE$3,(((Volatilities_Resets!$K67-Volatilities_Resets!$I67)/50)*((Calculator!AB78-Calculator!AD$3)*10000)+Volatilities_Resets!$I67)),IF(AB78&gt;=AD$2,IF(AB78&lt;AE$2,(((Volatilities_Resets!$I67-Volatilities_Resets!$G67)/50)*((Calculator!AB78-Calculator!AD$2)*10000)+Volatilities_Resets!$G67)),"Well, something broke...")))))))))))/10000</f>
        <v>1.1936E-2</v>
      </c>
      <c r="AE78" s="63">
        <f t="shared" ca="1" si="24"/>
        <v>18730.224892169263</v>
      </c>
      <c r="AF78" s="63">
        <f t="shared" ca="1" si="25"/>
        <v>7.5570529878092965E-4</v>
      </c>
      <c r="AG78" s="63">
        <f t="shared" ca="1" si="45"/>
        <v>1455781.9949712758</v>
      </c>
      <c r="AJ78" s="63">
        <f t="shared" ca="1" si="26"/>
        <v>136.44336645673548</v>
      </c>
      <c r="AK78" s="63">
        <f ca="1">SUM($AJ$15:AJ78)</f>
        <v>6587.1566656584637</v>
      </c>
      <c r="AM78" s="52">
        <f ca="1">EXP(-AVERAGE(AC$15:AC78)*Z78)</f>
        <v>0.84012931342080666</v>
      </c>
      <c r="AO78" s="52">
        <f t="shared" ca="1" si="27"/>
        <v>64</v>
      </c>
      <c r="AP78" s="71">
        <f t="shared" ca="1" si="28"/>
        <v>46927</v>
      </c>
      <c r="AQ78" s="71">
        <f t="shared" ca="1" si="5"/>
        <v>46957</v>
      </c>
      <c r="AR78" s="72">
        <f t="shared" ca="1" si="6"/>
        <v>30</v>
      </c>
      <c r="AS78" s="73">
        <f ca="1">SUM(AR$15:AR78)/360</f>
        <v>5.4138888888888888</v>
      </c>
      <c r="AT78" s="74">
        <f t="shared" si="7"/>
        <v>25000000</v>
      </c>
      <c r="AU78" s="59">
        <f t="shared" si="29"/>
        <v>0.04</v>
      </c>
      <c r="AV78" s="57">
        <f>Volatilities_Resets!$E67*0.01</f>
        <v>2.92351E-2</v>
      </c>
      <c r="AW78" s="61">
        <f>IF(AU78=AX$11,Volatilities_Resets!$AA67,IF(AU78&gt;=AW$11,IF(AU78&lt;AX$11,(((Volatilities_Resets!$AA67-Volatilities_Resets!$Y67)/50)*((Calculator!AU78-Calculator!AW$11)*10000)+Volatilities_Resets!$Y67)),IF(AU78&gt;=AW$10,IF(AU78&lt;AX$10,(((Volatilities_Resets!$Y67-Volatilities_Resets!$W67)/50)*((Calculator!AU78-Calculator!AW$10)*10000)+Volatilities_Resets!$W67)),IF(AU78&gt;=AW$9,IF(AU78&lt;AX$9,(((Volatilities_Resets!$W67-Volatilities_Resets!$U67)/50)*((Calculator!AU78-Calculator!AW$9)*10000)+Volatilities_Resets!$U67)),IF(AU78&gt;=AW$8,IF(AU78&lt;AX$8,(((Volatilities_Resets!$U67-Volatilities_Resets!$S67)/50)*((Calculator!AU78-Calculator!AW$8)*10000)+Volatilities_Resets!$S67)),IF(AU78&gt;=AW$7,IF(AU78&lt;AX$7,(((Volatilities_Resets!$S67-Volatilities_Resets!$Q67)/50)*((Calculator!AU78-Calculator!AW$7)*10000)+Volatilities_Resets!$Q67)),IF(AU78&gt;=AW$6,IF(AU78&lt;AX$6,(((Volatilities_Resets!$Q67-Volatilities_Resets!$O67)/50)*((Calculator!AU78-Calculator!AW$6)*10000)+Volatilities_Resets!$O67)),IF(AU78&gt;=AW$5,IF(AU78&lt;AX$5,(((Volatilities_Resets!$O67-Volatilities_Resets!$M67)/50)*((Calculator!AU78-Calculator!AW$5)*10000)+Volatilities_Resets!$M67)),IF(AU78&gt;=AW$4,IF(AU78&lt;AX$4,(((Volatilities_Resets!$M67-Volatilities_Resets!$K67)/50)*((Calculator!AU78-Calculator!AW$4)*10000)+Volatilities_Resets!$K67)),IF(AU78&gt;=AW$3,IF(AU78&lt;AX$3,(((Volatilities_Resets!$K67-Volatilities_Resets!$I67)/50)*((Calculator!AU78-Calculator!AW$3)*10000)+Volatilities_Resets!$I67)),IF(AU78&gt;=AW$2,IF(AU78&lt;AX$2,(((Volatilities_Resets!$I67-Volatilities_Resets!$G67)/50)*((Calculator!AU78-Calculator!AW$2)*10000)+Volatilities_Resets!$G67)),"Well, something broke...")))))))))))/10000</f>
        <v>1.2485E-2</v>
      </c>
      <c r="AX78" s="63">
        <f t="shared" ca="1" si="30"/>
        <v>12240.468715884339</v>
      </c>
      <c r="AY78" s="63">
        <f t="shared" ca="1" si="31"/>
        <v>4.9568957683666893E-4</v>
      </c>
      <c r="AZ78" s="63">
        <f t="shared" ca="1" si="46"/>
        <v>888411.86756280717</v>
      </c>
      <c r="BC78" s="63">
        <f t="shared" ca="1" si="8"/>
        <v>127.50701821624854</v>
      </c>
      <c r="BD78" s="63">
        <f ca="1">SUM($BC$15:BC78)</f>
        <v>6296.0971313507107</v>
      </c>
      <c r="BF78" s="52">
        <f ca="1">EXP(-AVERAGE(AV$15:AV78)*AS78)</f>
        <v>0.84012931342080666</v>
      </c>
      <c r="BH78" s="52">
        <f t="shared" ca="1" si="32"/>
        <v>64</v>
      </c>
      <c r="BI78" s="71">
        <f t="shared" ca="1" si="33"/>
        <v>46927</v>
      </c>
      <c r="BJ78" s="71">
        <f t="shared" ca="1" si="9"/>
        <v>46957</v>
      </c>
      <c r="BK78" s="72">
        <f t="shared" ca="1" si="10"/>
        <v>30</v>
      </c>
      <c r="BL78" s="73">
        <f ca="1">SUM(BK$15:BK78)/360</f>
        <v>5.4138888888888888</v>
      </c>
      <c r="BM78" s="74">
        <f t="shared" si="11"/>
        <v>25000000</v>
      </c>
      <c r="BN78" s="59">
        <f t="shared" si="34"/>
        <v>0.05</v>
      </c>
      <c r="BO78" s="57">
        <f>Volatilities_Resets!$E67*0.01</f>
        <v>2.92351E-2</v>
      </c>
      <c r="BP78" s="61">
        <f>IF(BN78=BQ$11,Volatilities_Resets!$AA67,IF(BN78&gt;=BP$11,IF(BN78&lt;BQ$11,(((Volatilities_Resets!$AA67-Volatilities_Resets!$Y67)/50)*((Calculator!BN78-Calculator!BP$11)*10000)+Volatilities_Resets!$Y67)),IF(BN78&gt;=BP$10,IF(BN78&lt;BQ$10,(((Volatilities_Resets!$Y67-Volatilities_Resets!$W67)/50)*((Calculator!BN78-Calculator!BP$10)*10000)+Volatilities_Resets!$W67)),IF(BN78&gt;=BP$9,IF(BN78&lt;BQ$9,(((Volatilities_Resets!$W67-Volatilities_Resets!$U67)/50)*((Calculator!BN78-Calculator!BP$9)*10000)+Volatilities_Resets!$U67)),IF(BN78&gt;=BP$8,IF(BN78&lt;BQ$8,(((Volatilities_Resets!$U67-Volatilities_Resets!$S67)/50)*((Calculator!BN78-Calculator!BP$8)*10000)+Volatilities_Resets!$S67)),IF(BN78&gt;=BP$7,IF(BN78&lt;BQ$7,(((Volatilities_Resets!$S67-Volatilities_Resets!$Q67)/50)*((Calculator!BN78-Calculator!BP$7)*10000)+Volatilities_Resets!$Q67)),IF(BN78&gt;=BP$6,IF(BN78&lt;BQ$6,(((Volatilities_Resets!$Q67-Volatilities_Resets!$O67)/50)*((Calculator!BN78-Calculator!BP$6)*10000)+Volatilities_Resets!$O67)),IF(BN78&gt;=BP$5,IF(BN78&lt;BQ$5,(((Volatilities_Resets!$O67-Volatilities_Resets!$M67)/50)*((Calculator!BN78-Calculator!BP$5)*10000)+Volatilities_Resets!$M67)),IF(BN78&gt;=BP$4,IF(BN78&lt;BQ$4,(((Volatilities_Resets!$M67-Volatilities_Resets!$K67)/50)*((Calculator!BN78-Calculator!BP$4)*10000)+Volatilities_Resets!$K67)),IF(BN78&gt;=BP$3,IF(BN78&lt;BQ$3,(((Volatilities_Resets!$K67-Volatilities_Resets!$I67)/50)*((Calculator!BN78-Calculator!BP$3)*10000)+Volatilities_Resets!$I67)),IF(BN78&gt;=BP$2,IF(BN78&lt;BQ$2,(((Volatilities_Resets!$I67-Volatilities_Resets!$G67)/50)*((Calculator!BN78-Calculator!BP$2)*10000)+Volatilities_Resets!$G67)),"Well, something broke...")))))))))))/10000</f>
        <v>1.3493000000000002E-2</v>
      </c>
      <c r="BQ78" s="63">
        <f t="shared" ca="1" si="35"/>
        <v>8377.2957114931814</v>
      </c>
      <c r="BR78" s="63">
        <f t="shared" ca="1" si="36"/>
        <v>3.4032224786754501E-4</v>
      </c>
      <c r="BS78" s="63">
        <f t="shared" ca="1" si="47"/>
        <v>495477.9814605047</v>
      </c>
      <c r="BV78" s="63">
        <f t="shared" ca="1" si="37"/>
        <v>109.85571664982028</v>
      </c>
      <c r="BW78" s="63">
        <f ca="1">SUM($BV$15:BV78)</f>
        <v>5401.5351386436714</v>
      </c>
      <c r="BY78" s="52">
        <f ca="1">EXP(-AVERAGE(BO$15:BO78)*BL78)</f>
        <v>0.84012931342080666</v>
      </c>
      <c r="CA78" s="52">
        <f t="shared" ca="1" si="38"/>
        <v>64</v>
      </c>
      <c r="CB78" s="71">
        <f t="shared" ca="1" si="39"/>
        <v>46927</v>
      </c>
      <c r="CC78" s="71">
        <f t="shared" ca="1" si="12"/>
        <v>46957</v>
      </c>
      <c r="CD78" s="72">
        <f t="shared" ca="1" si="13"/>
        <v>30</v>
      </c>
      <c r="CE78" s="73">
        <f ca="1">SUM(CD$15:CD78)/360</f>
        <v>5.4138888888888888</v>
      </c>
      <c r="CF78" s="74">
        <f t="shared" si="14"/>
        <v>25000000</v>
      </c>
      <c r="CG78" s="59">
        <f t="shared" si="40"/>
        <v>0.06</v>
      </c>
      <c r="CH78" s="57">
        <f>Volatilities_Resets!$E67*0.01</f>
        <v>2.92351E-2</v>
      </c>
      <c r="CI78" s="61">
        <f>IF(CG78=CJ$11,Volatilities_Resets!$AA67,IF(CG78&gt;=CI$11,IF(CG78&lt;CJ$11,(((Volatilities_Resets!$AA67-Volatilities_Resets!$Y67)/50)*((Calculator!CG78-Calculator!CI$11)*10000)+Volatilities_Resets!$Y67)),IF(CG78&gt;=CI$10,IF(CG78&lt;CJ$10,(((Volatilities_Resets!$Y67-Volatilities_Resets!$W67)/50)*((Calculator!CG78-Calculator!CI$10)*10000)+Volatilities_Resets!$W67)),IF(CG78&gt;=CI$9,IF(CG78&lt;CJ$9,(((Volatilities_Resets!$W67-Volatilities_Resets!$U67)/50)*((Calculator!CG78-Calculator!CI$9)*10000)+Volatilities_Resets!$U67)),IF(CG78&gt;=CI$8,IF(CG78&lt;CJ$8,(((Volatilities_Resets!$U67-Volatilities_Resets!$S67)/50)*((Calculator!CG78-Calculator!CI$8)*10000)+Volatilities_Resets!$S67)),IF(CG78&gt;=CI$7,IF(CG78&lt;CJ$7,(((Volatilities_Resets!$S67-Volatilities_Resets!$Q67)/50)*((Calculator!CG78-Calculator!CI$7)*10000)+Volatilities_Resets!$Q67)),IF(CG78&gt;=CI$6,IF(CG78&lt;CJ$6,(((Volatilities_Resets!$Q67-Volatilities_Resets!$O67)/50)*((Calculator!CG78-Calculator!CI$6)*10000)+Volatilities_Resets!$O67)),IF(CG78&gt;=CI$5,IF(CG78&lt;CJ$5,(((Volatilities_Resets!$O67-Volatilities_Resets!$M67)/50)*((Calculator!CG78-Calculator!CI$5)*10000)+Volatilities_Resets!$M67)),IF(CG78&gt;=CI$4,IF(CG78&lt;CJ$4,(((Volatilities_Resets!$M67-Volatilities_Resets!$K67)/50)*((Calculator!CG78-Calculator!CI$4)*10000)+Volatilities_Resets!$K67)),IF(CG78&gt;=CI$3,IF(CG78&lt;CJ$3,(((Volatilities_Resets!$K67-Volatilities_Resets!$I67)/50)*((Calculator!CG78-Calculator!CI$3)*10000)+Volatilities_Resets!$I67)),IF(CG78&gt;=CI$2,IF(CG78&lt;CJ$2,(((Volatilities_Resets!$I67-Volatilities_Resets!$G67)/50)*((Calculator!CG78-Calculator!CI$2)*10000)+Volatilities_Resets!$G67)),"Well, something broke...")))))))))))/10000</f>
        <v>1.4772E-2</v>
      </c>
      <c r="CJ78" s="63">
        <f t="shared" ca="1" si="41"/>
        <v>6096.4921262246371</v>
      </c>
      <c r="CK78" s="63">
        <f t="shared" ca="1" si="42"/>
        <v>2.4822513209743035E-4</v>
      </c>
      <c r="CL78" s="63">
        <f t="shared" ca="1" si="48"/>
        <v>292084.39585805184</v>
      </c>
      <c r="CO78" s="63">
        <f t="shared" ca="1" si="43"/>
        <v>91.688500789622168</v>
      </c>
      <c r="CP78" s="63">
        <f ca="1">SUM($CO$15:CO78)</f>
        <v>4172.8619923515816</v>
      </c>
      <c r="CR78" s="52">
        <f ca="1">EXP(-AVERAGE(CH$15:CH78)*CE78)</f>
        <v>0.84012931342080666</v>
      </c>
      <c r="CT78"/>
      <c r="CU78"/>
      <c r="CV78"/>
      <c r="CW78"/>
      <c r="CX78"/>
      <c r="CY78"/>
      <c r="CZ78"/>
      <c r="DA78"/>
      <c r="DB78"/>
      <c r="DC78"/>
      <c r="DD78"/>
      <c r="DE78"/>
      <c r="DF78"/>
      <c r="DG78"/>
      <c r="DH78"/>
      <c r="DI78"/>
      <c r="DJ78"/>
      <c r="DK78"/>
      <c r="DL78"/>
    </row>
    <row r="79" spans="2:116" ht="15.75" customHeight="1">
      <c r="B79" s="52">
        <v>6</v>
      </c>
      <c r="C79" s="52">
        <f t="shared" ca="1" si="52"/>
        <v>65</v>
      </c>
      <c r="D79" s="71">
        <f t="shared" ca="1" si="16"/>
        <v>46957</v>
      </c>
      <c r="E79" s="71">
        <f t="shared" ca="1" si="53"/>
        <v>46988</v>
      </c>
      <c r="F79" s="72">
        <f t="shared" ca="1" si="54"/>
        <v>31</v>
      </c>
      <c r="G79" s="73">
        <f ca="1">SUM($F$15:F79)/360</f>
        <v>5.5</v>
      </c>
      <c r="H79" s="74">
        <f t="shared" ref="H79:H98" si="56">$B$2</f>
        <v>25000000</v>
      </c>
      <c r="I79" s="59">
        <f>IF('Cap Pricer'!$E$22=DataValidation!$C$2,'Cap Pricer'!$E$23,IF('Cap Pricer'!$E$22=DataValidation!$C$3,VLOOKUP($B79,'Cap Pricer'!$C$25:$E$31,3),""))</f>
        <v>0.02</v>
      </c>
      <c r="J79" s="57">
        <f>Volatilities_Resets!$E68*0.01</f>
        <v>2.9238699999999999E-2</v>
      </c>
      <c r="K79" s="61">
        <f>IF(I79=L$11,Volatilities_Resets!$AA68,IF(I79&gt;=K$11,IF(I79&lt;L$11,(((Volatilities_Resets!$AA68-Volatilities_Resets!$Y68)/50)*((Calculator!I79-Calculator!K$11)*10000)+Volatilities_Resets!$Y68)),IF(I79&gt;=K$10,IF(I79&lt;L$10,(((Volatilities_Resets!$Y68-Volatilities_Resets!$W68)/50)*((Calculator!I79-Calculator!K$10)*10000)+Volatilities_Resets!$W68)),IF(I79&gt;=K$9,IF(I79&lt;L$9,(((Volatilities_Resets!$W68-Volatilities_Resets!$U68)/50)*((Calculator!I79-Calculator!K$9)*10000)+Volatilities_Resets!$U68)),IF(I79&gt;=K$8,IF(I79&lt;L$8,(((Volatilities_Resets!$U68-Volatilities_Resets!$S68)/50)*((Calculator!I79-Calculator!K$8)*10000)+Volatilities_Resets!$S68)),IF(I79&gt;=K$7,IF(I79&lt;L$7,(((Volatilities_Resets!$S68-Volatilities_Resets!$Q68)/50)*((Calculator!I79-Calculator!K$7)*10000)+Volatilities_Resets!$Q68)),IF(I79&gt;=K$6,IF(I79&lt;L$6,(((Volatilities_Resets!$Q68-Volatilities_Resets!$O68)/50)*((Calculator!I79-Calculator!K$6)*10000)+Volatilities_Resets!$O68)),IF(I79&gt;=K$5,IF(I79&lt;L$5,(((Volatilities_Resets!$O68-Volatilities_Resets!$M68)/50)*((Calculator!I79-Calculator!K$5)*10000)+Volatilities_Resets!$M68)),IF(I79&gt;=K$4,IF(I79&lt;L$4,(((Volatilities_Resets!$M68-Volatilities_Resets!$K68)/50)*((Calculator!I79-Calculator!K$4)*10000)+Volatilities_Resets!$K68)),IF(I79&gt;=K$3,IF(I79&lt;L$3,(((Volatilities_Resets!$K68-Volatilities_Resets!$I68)/50)*((Calculator!I79-Calculator!K$3)*10000)+Volatilities_Resets!$I68)),IF(I79&gt;=K$2,IF(I79&lt;L$2,(((Volatilities_Resets!$I68-Volatilities_Resets!$G68)/50)*((Calculator!I79-Calculator!K$2)*10000)+Volatilities_Resets!$G68)),"Well, something broke...")))))))))))/10000</f>
        <v>1.1936E-2</v>
      </c>
      <c r="L79" s="47">
        <f t="shared" ca="1" si="17"/>
        <v>29567.504982775983</v>
      </c>
      <c r="M79" s="63">
        <f t="shared" ca="1" si="18"/>
        <v>1.1890967286625584E-3</v>
      </c>
      <c r="N79" s="63">
        <f t="shared" ca="1" si="55"/>
        <v>2238557.9232584904</v>
      </c>
      <c r="Q79" s="63">
        <f t="shared" ca="1" si="19"/>
        <v>134.00937416138282</v>
      </c>
      <c r="R79" s="63">
        <f ca="1">SUM($Q$15:Q79)</f>
        <v>6227.7835007813037</v>
      </c>
      <c r="T79" s="52">
        <f ca="1">EXP(-AVERAGE(J$15:J79)*G79)</f>
        <v>0.83801303361209389</v>
      </c>
      <c r="U79" s="57"/>
      <c r="V79" s="52">
        <f t="shared" ca="1" si="20"/>
        <v>65</v>
      </c>
      <c r="W79" s="71">
        <f t="shared" ca="1" si="21"/>
        <v>46957</v>
      </c>
      <c r="X79" s="71">
        <f t="shared" ref="X79:X98" ca="1" si="57">EDATE(W79,1)</f>
        <v>46988</v>
      </c>
      <c r="Y79" s="72">
        <f t="shared" ref="Y79:Y98" ca="1" si="58">X79-W79</f>
        <v>31</v>
      </c>
      <c r="Z79" s="73">
        <f ca="1">SUM(Y$15:Y79)/360</f>
        <v>5.5</v>
      </c>
      <c r="AA79" s="74">
        <f t="shared" ref="AA79:AA98" si="59">$B$2</f>
        <v>25000000</v>
      </c>
      <c r="AB79" s="59">
        <f t="shared" si="23"/>
        <v>0.03</v>
      </c>
      <c r="AC79" s="57">
        <f>Volatilities_Resets!$E68*0.01</f>
        <v>2.9238699999999999E-2</v>
      </c>
      <c r="AD79" s="61">
        <f>IF(AB79=AE$11,Volatilities_Resets!$AA68,IF(AB79&gt;=AD$11,IF(AB79&lt;AE$11,(((Volatilities_Resets!$AA68-Volatilities_Resets!$Y68)/50)*((Calculator!AB79-Calculator!AD$11)*10000)+Volatilities_Resets!$Y68)),IF(AB79&gt;=AD$10,IF(AB79&lt;AE$10,(((Volatilities_Resets!$Y68-Volatilities_Resets!$W68)/50)*((Calculator!AB79-Calculator!AD$10)*10000)+Volatilities_Resets!$W68)),IF(AB79&gt;=AD$9,IF(AB79&lt;AE$9,(((Volatilities_Resets!$W68-Volatilities_Resets!$U68)/50)*((Calculator!AB79-Calculator!AD$9)*10000)+Volatilities_Resets!$U68)),IF(AB79&gt;=AD$8,IF(AB79&lt;AE$8,(((Volatilities_Resets!$U68-Volatilities_Resets!$S68)/50)*((Calculator!AB79-Calculator!AD$8)*10000)+Volatilities_Resets!$S68)),IF(AB79&gt;=AD$7,IF(AB79&lt;AE$7,(((Volatilities_Resets!$S68-Volatilities_Resets!$Q68)/50)*((Calculator!AB79-Calculator!AD$7)*10000)+Volatilities_Resets!$Q68)),IF(AB79&gt;=AD$6,IF(AB79&lt;AE$6,(((Volatilities_Resets!$Q68-Volatilities_Resets!$O68)/50)*((Calculator!AB79-Calculator!AD$6)*10000)+Volatilities_Resets!$O68)),IF(AB79&gt;=AD$5,IF(AB79&lt;AE$5,(((Volatilities_Resets!$O68-Volatilities_Resets!$M68)/50)*((Calculator!AB79-Calculator!AD$5)*10000)+Volatilities_Resets!$M68)),IF(AB79&gt;=AD$4,IF(AB79&lt;AE$4,(((Volatilities_Resets!$M68-Volatilities_Resets!$K68)/50)*((Calculator!AB79-Calculator!AD$4)*10000)+Volatilities_Resets!$K68)),IF(AB79&gt;=AD$3,IF(AB79&lt;AE$3,(((Volatilities_Resets!$K68-Volatilities_Resets!$I68)/50)*((Calculator!AB79-Calculator!AD$3)*10000)+Volatilities_Resets!$I68)),IF(AB79&gt;=AD$2,IF(AB79&lt;AE$2,(((Volatilities_Resets!$I68-Volatilities_Resets!$G68)/50)*((Calculator!AB79-Calculator!AD$2)*10000)+Volatilities_Resets!$G68)),"Well, something broke...")))))))))))/10000</f>
        <v>1.1936E-2</v>
      </c>
      <c r="AE79" s="63">
        <f t="shared" ca="1" si="24"/>
        <v>19467.263718850092</v>
      </c>
      <c r="AF79" s="63">
        <f t="shared" ca="1" si="25"/>
        <v>7.8543959022102242E-4</v>
      </c>
      <c r="AG79" s="63">
        <f t="shared" ca="1" si="45"/>
        <v>1475249.2586901258</v>
      </c>
      <c r="AJ79" s="63">
        <f t="shared" ca="1" si="26"/>
        <v>141.39461784375482</v>
      </c>
      <c r="AK79" s="63">
        <f ca="1">SUM($AJ$15:AJ79)</f>
        <v>6728.5512835022182</v>
      </c>
      <c r="AM79" s="52">
        <f ca="1">EXP(-AVERAGE(AC$15:AC79)*Z79)</f>
        <v>0.83801303361209389</v>
      </c>
      <c r="AO79" s="52">
        <f t="shared" ca="1" si="27"/>
        <v>65</v>
      </c>
      <c r="AP79" s="71">
        <f t="shared" ca="1" si="28"/>
        <v>46957</v>
      </c>
      <c r="AQ79" s="71">
        <f t="shared" ref="AQ79:AQ98" ca="1" si="60">EDATE(AP79,1)</f>
        <v>46988</v>
      </c>
      <c r="AR79" s="72">
        <f t="shared" ref="AR79:AR98" ca="1" si="61">AQ79-AP79</f>
        <v>31</v>
      </c>
      <c r="AS79" s="73">
        <f ca="1">SUM(AR$15:AR79)/360</f>
        <v>5.5</v>
      </c>
      <c r="AT79" s="74">
        <f t="shared" ref="AT79:AT98" si="62">$B$2</f>
        <v>25000000</v>
      </c>
      <c r="AU79" s="59">
        <f t="shared" si="29"/>
        <v>0.04</v>
      </c>
      <c r="AV79" s="57">
        <f>Volatilities_Resets!$E68*0.01</f>
        <v>2.9238699999999999E-2</v>
      </c>
      <c r="AW79" s="61">
        <f>IF(AU79=AX$11,Volatilities_Resets!$AA68,IF(AU79&gt;=AW$11,IF(AU79&lt;AX$11,(((Volatilities_Resets!$AA68-Volatilities_Resets!$Y68)/50)*((Calculator!AU79-Calculator!AW$11)*10000)+Volatilities_Resets!$Y68)),IF(AU79&gt;=AW$10,IF(AU79&lt;AX$10,(((Volatilities_Resets!$Y68-Volatilities_Resets!$W68)/50)*((Calculator!AU79-Calculator!AW$10)*10000)+Volatilities_Resets!$W68)),IF(AU79&gt;=AW$9,IF(AU79&lt;AX$9,(((Volatilities_Resets!$W68-Volatilities_Resets!$U68)/50)*((Calculator!AU79-Calculator!AW$9)*10000)+Volatilities_Resets!$U68)),IF(AU79&gt;=AW$8,IF(AU79&lt;AX$8,(((Volatilities_Resets!$U68-Volatilities_Resets!$S68)/50)*((Calculator!AU79-Calculator!AW$8)*10000)+Volatilities_Resets!$S68)),IF(AU79&gt;=AW$7,IF(AU79&lt;AX$7,(((Volatilities_Resets!$S68-Volatilities_Resets!$Q68)/50)*((Calculator!AU79-Calculator!AW$7)*10000)+Volatilities_Resets!$Q68)),IF(AU79&gt;=AW$6,IF(AU79&lt;AX$6,(((Volatilities_Resets!$Q68-Volatilities_Resets!$O68)/50)*((Calculator!AU79-Calculator!AW$6)*10000)+Volatilities_Resets!$O68)),IF(AU79&gt;=AW$5,IF(AU79&lt;AX$5,(((Volatilities_Resets!$O68-Volatilities_Resets!$M68)/50)*((Calculator!AU79-Calculator!AW$5)*10000)+Volatilities_Resets!$M68)),IF(AU79&gt;=AW$4,IF(AU79&lt;AX$4,(((Volatilities_Resets!$M68-Volatilities_Resets!$K68)/50)*((Calculator!AU79-Calculator!AW$4)*10000)+Volatilities_Resets!$K68)),IF(AU79&gt;=AW$3,IF(AU79&lt;AX$3,(((Volatilities_Resets!$K68-Volatilities_Resets!$I68)/50)*((Calculator!AU79-Calculator!AW$3)*10000)+Volatilities_Resets!$I68)),IF(AU79&gt;=AW$2,IF(AU79&lt;AX$2,(((Volatilities_Resets!$I68-Volatilities_Resets!$G68)/50)*((Calculator!AU79-Calculator!AW$2)*10000)+Volatilities_Resets!$G68)),"Well, something broke...")))))))))))/10000</f>
        <v>1.2485E-2</v>
      </c>
      <c r="AX79" s="63">
        <f t="shared" ca="1" si="30"/>
        <v>12773.650127695561</v>
      </c>
      <c r="AY79" s="63">
        <f t="shared" ca="1" si="31"/>
        <v>5.1725997217476718E-4</v>
      </c>
      <c r="AZ79" s="63">
        <f t="shared" ca="1" si="46"/>
        <v>901185.51769050269</v>
      </c>
      <c r="BC79" s="63">
        <f t="shared" ref="BC79:BC98" ca="1" si="63">((AY79-(AX79/AT79))*AT79)*BF79</f>
        <v>132.27966739743022</v>
      </c>
      <c r="BD79" s="63">
        <f ca="1">SUM($BC$15:BC79)</f>
        <v>6428.3767987481406</v>
      </c>
      <c r="BF79" s="52">
        <f ca="1">EXP(-AVERAGE(AV$15:AV79)*AS79)</f>
        <v>0.83801303361209389</v>
      </c>
      <c r="BH79" s="52">
        <f t="shared" ca="1" si="32"/>
        <v>65</v>
      </c>
      <c r="BI79" s="71">
        <f t="shared" ca="1" si="33"/>
        <v>46957</v>
      </c>
      <c r="BJ79" s="71">
        <f t="shared" ref="BJ79:BJ98" ca="1" si="64">EDATE(BI79,1)</f>
        <v>46988</v>
      </c>
      <c r="BK79" s="72">
        <f t="shared" ref="BK79:BK98" ca="1" si="65">BJ79-BI79</f>
        <v>31</v>
      </c>
      <c r="BL79" s="73">
        <f ca="1">SUM(BK$15:BK79)/360</f>
        <v>5.5</v>
      </c>
      <c r="BM79" s="74">
        <f t="shared" ref="BM79:BM98" si="66">$B$2</f>
        <v>25000000</v>
      </c>
      <c r="BN79" s="59">
        <f t="shared" si="34"/>
        <v>0.05</v>
      </c>
      <c r="BO79" s="57">
        <f>Volatilities_Resets!$E68*0.01</f>
        <v>2.9238699999999999E-2</v>
      </c>
      <c r="BP79" s="61">
        <f>IF(BN79=BQ$11,Volatilities_Resets!$AA68,IF(BN79&gt;=BP$11,IF(BN79&lt;BQ$11,(((Volatilities_Resets!$AA68-Volatilities_Resets!$Y68)/50)*((Calculator!BN79-Calculator!BP$11)*10000)+Volatilities_Resets!$Y68)),IF(BN79&gt;=BP$10,IF(BN79&lt;BQ$10,(((Volatilities_Resets!$Y68-Volatilities_Resets!$W68)/50)*((Calculator!BN79-Calculator!BP$10)*10000)+Volatilities_Resets!$W68)),IF(BN79&gt;=BP$9,IF(BN79&lt;BQ$9,(((Volatilities_Resets!$W68-Volatilities_Resets!$U68)/50)*((Calculator!BN79-Calculator!BP$9)*10000)+Volatilities_Resets!$U68)),IF(BN79&gt;=BP$8,IF(BN79&lt;BQ$8,(((Volatilities_Resets!$U68-Volatilities_Resets!$S68)/50)*((Calculator!BN79-Calculator!BP$8)*10000)+Volatilities_Resets!$S68)),IF(BN79&gt;=BP$7,IF(BN79&lt;BQ$7,(((Volatilities_Resets!$S68-Volatilities_Resets!$Q68)/50)*((Calculator!BN79-Calculator!BP$7)*10000)+Volatilities_Resets!$Q68)),IF(BN79&gt;=BP$6,IF(BN79&lt;BQ$6,(((Volatilities_Resets!$Q68-Volatilities_Resets!$O68)/50)*((Calculator!BN79-Calculator!BP$6)*10000)+Volatilities_Resets!$O68)),IF(BN79&gt;=BP$5,IF(BN79&lt;BQ$5,(((Volatilities_Resets!$O68-Volatilities_Resets!$M68)/50)*((Calculator!BN79-Calculator!BP$5)*10000)+Volatilities_Resets!$M68)),IF(BN79&gt;=BP$4,IF(BN79&lt;BQ$4,(((Volatilities_Resets!$M68-Volatilities_Resets!$K68)/50)*((Calculator!BN79-Calculator!BP$4)*10000)+Volatilities_Resets!$K68)),IF(BN79&gt;=BP$3,IF(BN79&lt;BQ$3,(((Volatilities_Resets!$K68-Volatilities_Resets!$I68)/50)*((Calculator!BN79-Calculator!BP$3)*10000)+Volatilities_Resets!$I68)),IF(BN79&gt;=BP$2,IF(BN79&lt;BQ$2,(((Volatilities_Resets!$I68-Volatilities_Resets!$G68)/50)*((Calculator!BN79-Calculator!BP$2)*10000)+Volatilities_Resets!$G68)),"Well, something broke...")))))))))))/10000</f>
        <v>1.3493000000000002E-2</v>
      </c>
      <c r="BQ79" s="63">
        <f t="shared" ca="1" si="35"/>
        <v>8780.4673512260651</v>
      </c>
      <c r="BR79" s="63">
        <f t="shared" ca="1" si="36"/>
        <v>3.5667145863655292E-4</v>
      </c>
      <c r="BS79" s="63">
        <f t="shared" ca="1" si="47"/>
        <v>504258.44881173078</v>
      </c>
      <c r="BV79" s="63">
        <f t="shared" ca="1" si="37"/>
        <v>114.23719483880267</v>
      </c>
      <c r="BW79" s="63">
        <f ca="1">SUM($BV$15:BV79)</f>
        <v>5515.7723334824741</v>
      </c>
      <c r="BY79" s="52">
        <f ca="1">EXP(-AVERAGE(BO$15:BO79)*BL79)</f>
        <v>0.83801303361209389</v>
      </c>
      <c r="CA79" s="52">
        <f t="shared" ca="1" si="38"/>
        <v>65</v>
      </c>
      <c r="CB79" s="71">
        <f t="shared" ca="1" si="39"/>
        <v>46957</v>
      </c>
      <c r="CC79" s="71">
        <f t="shared" ref="CC79:CC98" ca="1" si="67">EDATE(CB79,1)</f>
        <v>46988</v>
      </c>
      <c r="CD79" s="72">
        <f t="shared" ref="CD79:CD98" ca="1" si="68">CC79-CB79</f>
        <v>31</v>
      </c>
      <c r="CE79" s="73">
        <f ca="1">SUM(CD$15:CD79)/360</f>
        <v>5.5</v>
      </c>
      <c r="CF79" s="74">
        <f t="shared" ref="CF79:CF98" si="69">$B$2</f>
        <v>25000000</v>
      </c>
      <c r="CG79" s="59">
        <f t="shared" si="40"/>
        <v>0.06</v>
      </c>
      <c r="CH79" s="57">
        <f>Volatilities_Resets!$E68*0.01</f>
        <v>2.9238699999999999E-2</v>
      </c>
      <c r="CI79" s="61">
        <f>IF(CG79=CJ$11,Volatilities_Resets!$AA68,IF(CG79&gt;=CI$11,IF(CG79&lt;CJ$11,(((Volatilities_Resets!$AA68-Volatilities_Resets!$Y68)/50)*((Calculator!CG79-Calculator!CI$11)*10000)+Volatilities_Resets!$Y68)),IF(CG79&gt;=CI$10,IF(CG79&lt;CJ$10,(((Volatilities_Resets!$Y68-Volatilities_Resets!$W68)/50)*((Calculator!CG79-Calculator!CI$10)*10000)+Volatilities_Resets!$W68)),IF(CG79&gt;=CI$9,IF(CG79&lt;CJ$9,(((Volatilities_Resets!$W68-Volatilities_Resets!$U68)/50)*((Calculator!CG79-Calculator!CI$9)*10000)+Volatilities_Resets!$U68)),IF(CG79&gt;=CI$8,IF(CG79&lt;CJ$8,(((Volatilities_Resets!$U68-Volatilities_Resets!$S68)/50)*((Calculator!CG79-Calculator!CI$8)*10000)+Volatilities_Resets!$S68)),IF(CG79&gt;=CI$7,IF(CG79&lt;CJ$7,(((Volatilities_Resets!$S68-Volatilities_Resets!$Q68)/50)*((Calculator!CG79-Calculator!CI$7)*10000)+Volatilities_Resets!$Q68)),IF(CG79&gt;=CI$6,IF(CG79&lt;CJ$6,(((Volatilities_Resets!$Q68-Volatilities_Resets!$O68)/50)*((Calculator!CG79-Calculator!CI$6)*10000)+Volatilities_Resets!$O68)),IF(CG79&gt;=CI$5,IF(CG79&lt;CJ$5,(((Volatilities_Resets!$O68-Volatilities_Resets!$M68)/50)*((Calculator!CG79-Calculator!CI$5)*10000)+Volatilities_Resets!$M68)),IF(CG79&gt;=CI$4,IF(CG79&lt;CJ$4,(((Volatilities_Resets!$M68-Volatilities_Resets!$K68)/50)*((Calculator!CG79-Calculator!CI$4)*10000)+Volatilities_Resets!$K68)),IF(CG79&gt;=CI$3,IF(CG79&lt;CJ$3,(((Volatilities_Resets!$K68-Volatilities_Resets!$I68)/50)*((Calculator!CG79-Calculator!CI$3)*10000)+Volatilities_Resets!$I68)),IF(CG79&gt;=CI$2,IF(CG79&lt;CJ$2,(((Volatilities_Resets!$I68-Volatilities_Resets!$G68)/50)*((Calculator!CG79-Calculator!CI$2)*10000)+Volatilities_Resets!$G68)),"Well, something broke...")))))))))))/10000</f>
        <v>1.4772E-2</v>
      </c>
      <c r="CJ79" s="63">
        <f t="shared" ca="1" si="41"/>
        <v>6416.7462073670395</v>
      </c>
      <c r="CK79" s="63">
        <f t="shared" ca="1" si="42"/>
        <v>2.6123384939675832E-4</v>
      </c>
      <c r="CL79" s="63">
        <f t="shared" ca="1" si="48"/>
        <v>298501.14206541888</v>
      </c>
      <c r="CO79" s="63">
        <f t="shared" ca="1" si="43"/>
        <v>95.617310224006758</v>
      </c>
      <c r="CP79" s="63">
        <f ca="1">SUM($CO$15:CO79)</f>
        <v>4268.479302575588</v>
      </c>
      <c r="CR79" s="52">
        <f ca="1">EXP(-AVERAGE(CH$15:CH79)*CE79)</f>
        <v>0.83801303361209389</v>
      </c>
      <c r="CT79"/>
      <c r="CU79"/>
      <c r="CV79"/>
      <c r="CW79"/>
      <c r="CX79"/>
      <c r="CY79"/>
      <c r="CZ79"/>
      <c r="DA79"/>
      <c r="DB79"/>
      <c r="DC79"/>
      <c r="DD79"/>
      <c r="DE79"/>
      <c r="DF79"/>
      <c r="DG79"/>
      <c r="DH79"/>
      <c r="DI79"/>
      <c r="DJ79"/>
      <c r="DK79"/>
      <c r="DL79"/>
    </row>
    <row r="80" spans="2:116" ht="15.75" customHeight="1">
      <c r="B80" s="52">
        <v>6</v>
      </c>
      <c r="C80" s="52">
        <f t="shared" ca="1" si="52"/>
        <v>66</v>
      </c>
      <c r="D80" s="71">
        <f t="shared" ref="D80:D98" ca="1" si="70">EDATE(D79,1)</f>
        <v>46988</v>
      </c>
      <c r="E80" s="71">
        <f t="shared" ca="1" si="53"/>
        <v>47019</v>
      </c>
      <c r="F80" s="72">
        <f t="shared" ca="1" si="54"/>
        <v>31</v>
      </c>
      <c r="G80" s="73">
        <f ca="1">SUM($F$15:F80)/360</f>
        <v>5.5861111111111112</v>
      </c>
      <c r="H80" s="74">
        <f t="shared" si="56"/>
        <v>25000000</v>
      </c>
      <c r="I80" s="59">
        <f>IF('Cap Pricer'!$E$22=DataValidation!$C$2,'Cap Pricer'!$E$23,IF('Cap Pricer'!$E$22=DataValidation!$C$3,VLOOKUP($B80,'Cap Pricer'!$C$25:$E$31,3),""))</f>
        <v>0.02</v>
      </c>
      <c r="J80" s="57">
        <f>Volatilities_Resets!$E69*0.01</f>
        <v>2.9236300000000003E-2</v>
      </c>
      <c r="K80" s="61">
        <f>IF(I80=L$11,Volatilities_Resets!$AA69,IF(I80&gt;=K$11,IF(I80&lt;L$11,(((Volatilities_Resets!$AA69-Volatilities_Resets!$Y69)/50)*((Calculator!I80-Calculator!K$11)*10000)+Volatilities_Resets!$Y69)),IF(I80&gt;=K$10,IF(I80&lt;L$10,(((Volatilities_Resets!$Y69-Volatilities_Resets!$W69)/50)*((Calculator!I80-Calculator!K$10)*10000)+Volatilities_Resets!$W69)),IF(I80&gt;=K$9,IF(I80&lt;L$9,(((Volatilities_Resets!$W69-Volatilities_Resets!$U69)/50)*((Calculator!I80-Calculator!K$9)*10000)+Volatilities_Resets!$U69)),IF(I80&gt;=K$8,IF(I80&lt;L$8,(((Volatilities_Resets!$U69-Volatilities_Resets!$S69)/50)*((Calculator!I80-Calculator!K$8)*10000)+Volatilities_Resets!$S69)),IF(I80&gt;=K$7,IF(I80&lt;L$7,(((Volatilities_Resets!$S69-Volatilities_Resets!$Q69)/50)*((Calculator!I80-Calculator!K$7)*10000)+Volatilities_Resets!$Q69)),IF(I80&gt;=K$6,IF(I80&lt;L$6,(((Volatilities_Resets!$Q69-Volatilities_Resets!$O69)/50)*((Calculator!I80-Calculator!K$6)*10000)+Volatilities_Resets!$O69)),IF(I80&gt;=K$5,IF(I80&lt;L$5,(((Volatilities_Resets!$O69-Volatilities_Resets!$M69)/50)*((Calculator!I80-Calculator!K$5)*10000)+Volatilities_Resets!$M69)),IF(I80&gt;=K$4,IF(I80&lt;L$4,(((Volatilities_Resets!$M69-Volatilities_Resets!$K69)/50)*((Calculator!I80-Calculator!K$4)*10000)+Volatilities_Resets!$K69)),IF(I80&gt;=K$3,IF(I80&lt;L$3,(((Volatilities_Resets!$K69-Volatilities_Resets!$I69)/50)*((Calculator!I80-Calculator!K$3)*10000)+Volatilities_Resets!$I69)),IF(I80&gt;=K$2,IF(I80&lt;L$2,(((Volatilities_Resets!$I69-Volatilities_Resets!$G69)/50)*((Calculator!I80-Calculator!K$2)*10000)+Volatilities_Resets!$G69)),"Well, something broke...")))))))))))/10000</f>
        <v>1.1936E-2</v>
      </c>
      <c r="L80" s="47">
        <f t="shared" ref="L80:L98" ca="1" si="71">(((J80-I80)*(NORMDIST((J80-I80)/(K80*SQRT(G80)),0,1,TRUE)))+((K80*SQRT(G80))*(NORMDIST((J80-I80)/(K80*SQRT(G80)),0,1,FALSE))))*T80*(F80/360)*H80</f>
        <v>29638.781422198655</v>
      </c>
      <c r="M80" s="63">
        <f t="shared" ref="M80:M98" ca="1" si="72">(((J80-I80)*(NORMDIST((J80-I80)/((K80+0.0001)*SQRT(G80)),0,1,TRUE)))+((K80+0.0001)*SQRT(G80))*(NORMDIST((J80-I80)/((K80+0.0001)*SQRT(G80)),0,1,FALSE)))*T80*(F80/360)</f>
        <v>1.1919869630969775E-3</v>
      </c>
      <c r="N80" s="63">
        <f t="shared" ca="1" si="55"/>
        <v>2268196.7046806891</v>
      </c>
      <c r="Q80" s="63">
        <f t="shared" ref="Q80:Q98" ca="1" si="73">((M80-(L80/H80))*H80)*T80</f>
        <v>134.49055114254989</v>
      </c>
      <c r="R80" s="63">
        <f ca="1">SUM($Q$15:Q80)</f>
        <v>6362.2740519238532</v>
      </c>
      <c r="T80" s="52">
        <f ca="1">EXP(-AVERAGE(J$15:J80)*G80)</f>
        <v>0.83590236579673349</v>
      </c>
      <c r="U80" s="57"/>
      <c r="V80" s="52">
        <f t="shared" ref="V80:V98" ca="1" si="74">IF(W80="","",V79+1)</f>
        <v>66</v>
      </c>
      <c r="W80" s="71">
        <f t="shared" ref="W80:W98" ca="1" si="75">EDATE(W79,1)</f>
        <v>46988</v>
      </c>
      <c r="X80" s="71">
        <f t="shared" ca="1" si="57"/>
        <v>47019</v>
      </c>
      <c r="Y80" s="72">
        <f t="shared" ca="1" si="58"/>
        <v>31</v>
      </c>
      <c r="Z80" s="73">
        <f ca="1">SUM(Y$15:Y80)/360</f>
        <v>5.5861111111111112</v>
      </c>
      <c r="AA80" s="74">
        <f t="shared" si="59"/>
        <v>25000000</v>
      </c>
      <c r="AB80" s="59">
        <f t="shared" ref="AB80:AB98" si="76">V$13</f>
        <v>0.03</v>
      </c>
      <c r="AC80" s="57">
        <f>Volatilities_Resets!$E69*0.01</f>
        <v>2.9236300000000003E-2</v>
      </c>
      <c r="AD80" s="61">
        <f>IF(AB80=AE$11,Volatilities_Resets!$AA69,IF(AB80&gt;=AD$11,IF(AB80&lt;AE$11,(((Volatilities_Resets!$AA69-Volatilities_Resets!$Y69)/50)*((Calculator!AB80-Calculator!AD$11)*10000)+Volatilities_Resets!$Y69)),IF(AB80&gt;=AD$10,IF(AB80&lt;AE$10,(((Volatilities_Resets!$Y69-Volatilities_Resets!$W69)/50)*((Calculator!AB80-Calculator!AD$10)*10000)+Volatilities_Resets!$W69)),IF(AB80&gt;=AD$9,IF(AB80&lt;AE$9,(((Volatilities_Resets!$W69-Volatilities_Resets!$U69)/50)*((Calculator!AB80-Calculator!AD$9)*10000)+Volatilities_Resets!$U69)),IF(AB80&gt;=AD$8,IF(AB80&lt;AE$8,(((Volatilities_Resets!$U69-Volatilities_Resets!$S69)/50)*((Calculator!AB80-Calculator!AD$8)*10000)+Volatilities_Resets!$S69)),IF(AB80&gt;=AD$7,IF(AB80&lt;AE$7,(((Volatilities_Resets!$S69-Volatilities_Resets!$Q69)/50)*((Calculator!AB80-Calculator!AD$7)*10000)+Volatilities_Resets!$Q69)),IF(AB80&gt;=AD$6,IF(AB80&lt;AE$6,(((Volatilities_Resets!$Q69-Volatilities_Resets!$O69)/50)*((Calculator!AB80-Calculator!AD$6)*10000)+Volatilities_Resets!$O69)),IF(AB80&gt;=AD$5,IF(AB80&lt;AE$5,(((Volatilities_Resets!$O69-Volatilities_Resets!$M69)/50)*((Calculator!AB80-Calculator!AD$5)*10000)+Volatilities_Resets!$M69)),IF(AB80&gt;=AD$4,IF(AB80&lt;AE$4,(((Volatilities_Resets!$M69-Volatilities_Resets!$K69)/50)*((Calculator!AB80-Calculator!AD$4)*10000)+Volatilities_Resets!$K69)),IF(AB80&gt;=AD$3,IF(AB80&lt;AE$3,(((Volatilities_Resets!$K69-Volatilities_Resets!$I69)/50)*((Calculator!AB80-Calculator!AD$3)*10000)+Volatilities_Resets!$I69)),IF(AB80&gt;=AD$2,IF(AB80&lt;AE$2,(((Volatilities_Resets!$I69-Volatilities_Resets!$G69)/50)*((Calculator!AB80-Calculator!AD$2)*10000)+Volatilities_Resets!$G69)),"Well, something broke...")))))))))))/10000</f>
        <v>1.1936E-2</v>
      </c>
      <c r="AE80" s="63">
        <f t="shared" ref="AE80:AE98" ca="1" si="77">(((AC80-AB80)*(NORMDIST((AC80-AB80)/(AD80*SQRT(Z80)),0,1,TRUE)))+((AD80*SQRT(Z80))*(NORMDIST((AC80-AB80)/(AD80*SQRT(Z80)),0,1,FALSE))))*AM80*(Y80/360)*AA80</f>
        <v>19572.766511150065</v>
      </c>
      <c r="AF80" s="63">
        <f t="shared" ref="AF80:AF98" ca="1" si="78">(((AC80-AB80)*(NORMDIST((AC80-AB80)/((AD80+0.0001)*SQRT(Z80)),0,1,TRUE)))+((AD80+0.0001)*SQRT(Z80))*(NORMDIST((AC80-AB80)/((AD80+0.0001)*SQRT(Z80)),0,1,FALSE)))*AM80*(Y80/360)</f>
        <v>7.8969522193409207E-4</v>
      </c>
      <c r="AG80" s="63">
        <f t="shared" ca="1" si="45"/>
        <v>1494822.0252012759</v>
      </c>
      <c r="AJ80" s="63">
        <f t="shared" ref="AJ80:AJ98" ca="1" si="79">((AF80-(AE80/AA80))*AA80)*AM80</f>
        <v>141.7807749696843</v>
      </c>
      <c r="AK80" s="63">
        <f ca="1">SUM($AJ$15:AJ80)</f>
        <v>6870.3320584719022</v>
      </c>
      <c r="AM80" s="52">
        <f ca="1">EXP(-AVERAGE(AC$15:AC80)*Z80)</f>
        <v>0.83590236579673349</v>
      </c>
      <c r="AO80" s="52">
        <f t="shared" ref="AO80:AO98" ca="1" si="80">IF(AP80="","",AO79+1)</f>
        <v>66</v>
      </c>
      <c r="AP80" s="71">
        <f t="shared" ref="AP80:AP98" ca="1" si="81">EDATE(AP79,1)</f>
        <v>46988</v>
      </c>
      <c r="AQ80" s="71">
        <f t="shared" ca="1" si="60"/>
        <v>47019</v>
      </c>
      <c r="AR80" s="72">
        <f t="shared" ca="1" si="61"/>
        <v>31</v>
      </c>
      <c r="AS80" s="73">
        <f ca="1">SUM(AR$15:AR80)/360</f>
        <v>5.5861111111111112</v>
      </c>
      <c r="AT80" s="74">
        <f t="shared" si="62"/>
        <v>25000000</v>
      </c>
      <c r="AU80" s="59">
        <f t="shared" ref="AU80:AU98" si="82">AO$13</f>
        <v>0.04</v>
      </c>
      <c r="AV80" s="57">
        <f>Volatilities_Resets!$E69*0.01</f>
        <v>2.9236300000000003E-2</v>
      </c>
      <c r="AW80" s="61">
        <f>IF(AU80=AX$11,Volatilities_Resets!$AA69,IF(AU80&gt;=AW$11,IF(AU80&lt;AX$11,(((Volatilities_Resets!$AA69-Volatilities_Resets!$Y69)/50)*((Calculator!AU80-Calculator!AW$11)*10000)+Volatilities_Resets!$Y69)),IF(AU80&gt;=AW$10,IF(AU80&lt;AX$10,(((Volatilities_Resets!$Y69-Volatilities_Resets!$W69)/50)*((Calculator!AU80-Calculator!AW$10)*10000)+Volatilities_Resets!$W69)),IF(AU80&gt;=AW$9,IF(AU80&lt;AX$9,(((Volatilities_Resets!$W69-Volatilities_Resets!$U69)/50)*((Calculator!AU80-Calculator!AW$9)*10000)+Volatilities_Resets!$U69)),IF(AU80&gt;=AW$8,IF(AU80&lt;AX$8,(((Volatilities_Resets!$U69-Volatilities_Resets!$S69)/50)*((Calculator!AU80-Calculator!AW$8)*10000)+Volatilities_Resets!$S69)),IF(AU80&gt;=AW$7,IF(AU80&lt;AX$7,(((Volatilities_Resets!$S69-Volatilities_Resets!$Q69)/50)*((Calculator!AU80-Calculator!AW$7)*10000)+Volatilities_Resets!$Q69)),IF(AU80&gt;=AW$6,IF(AU80&lt;AX$6,(((Volatilities_Resets!$Q69-Volatilities_Resets!$O69)/50)*((Calculator!AU80-Calculator!AW$6)*10000)+Volatilities_Resets!$O69)),IF(AU80&gt;=AW$5,IF(AU80&lt;AX$5,(((Volatilities_Resets!$O69-Volatilities_Resets!$M69)/50)*((Calculator!AU80-Calculator!AW$5)*10000)+Volatilities_Resets!$M69)),IF(AU80&gt;=AW$4,IF(AU80&lt;AX$4,(((Volatilities_Resets!$M69-Volatilities_Resets!$K69)/50)*((Calculator!AU80-Calculator!AW$4)*10000)+Volatilities_Resets!$K69)),IF(AU80&gt;=AW$3,IF(AU80&lt;AX$3,(((Volatilities_Resets!$K69-Volatilities_Resets!$I69)/50)*((Calculator!AU80-Calculator!AW$3)*10000)+Volatilities_Resets!$I69)),IF(AU80&gt;=AW$2,IF(AU80&lt;AX$2,(((Volatilities_Resets!$I69-Volatilities_Resets!$G69)/50)*((Calculator!AU80-Calculator!AW$2)*10000)+Volatilities_Resets!$G69)),"Well, something broke...")))))))))))/10000</f>
        <v>1.2484E-2</v>
      </c>
      <c r="AX80" s="63">
        <f t="shared" ref="AX80:AX98" ca="1" si="83">(((AV80-AU80)*(NORMDIST((AV80-AU80)/(AW80*SQRT(AS80)),0,1,TRUE)))+((AW80*SQRT(AS80))*(NORMDIST((AV80-AU80)/(AW80*SQRT(AS80)),0,1,FALSE))))*BF80*(AR80/360)*AT80</f>
        <v>12891.632734334411</v>
      </c>
      <c r="AY80" s="63">
        <f t="shared" ref="AY80:AY98" ca="1" si="84">(((AV80-AU80)*(NORMDIST((AV80-AU80)/((AW80+0.0001)*SQRT(AS80)),0,1,TRUE)))+((AW80+0.0001)*SQRT(AS80))*(NORMDIST((AV80-AU80)/((AW80+0.0001)*SQRT(AS80)),0,1,FALSE)))*BF80*(AR80/360)</f>
        <v>5.2201879054120581E-4</v>
      </c>
      <c r="AZ80" s="63">
        <f t="shared" ca="1" si="46"/>
        <v>914077.15042483713</v>
      </c>
      <c r="BC80" s="63">
        <f t="shared" ca="1" si="63"/>
        <v>132.77224848083947</v>
      </c>
      <c r="BD80" s="63">
        <f ca="1">SUM($BC$15:BC80)</f>
        <v>6561.1490472289797</v>
      </c>
      <c r="BF80" s="52">
        <f ca="1">EXP(-AVERAGE(AV$15:AV80)*AS80)</f>
        <v>0.83590236579673349</v>
      </c>
      <c r="BH80" s="52">
        <f t="shared" ref="BH80:BH98" ca="1" si="85">IF(BI80="","",BH79+1)</f>
        <v>66</v>
      </c>
      <c r="BI80" s="71">
        <f t="shared" ref="BI80:BI98" ca="1" si="86">EDATE(BI79,1)</f>
        <v>46988</v>
      </c>
      <c r="BJ80" s="71">
        <f t="shared" ca="1" si="64"/>
        <v>47019</v>
      </c>
      <c r="BK80" s="72">
        <f t="shared" ca="1" si="65"/>
        <v>31</v>
      </c>
      <c r="BL80" s="73">
        <f ca="1">SUM(BK$15:BK80)/360</f>
        <v>5.5861111111111112</v>
      </c>
      <c r="BM80" s="74">
        <f t="shared" si="66"/>
        <v>25000000</v>
      </c>
      <c r="BN80" s="59">
        <f t="shared" ref="BN80:BN98" si="87">BH$13</f>
        <v>0.05</v>
      </c>
      <c r="BO80" s="57">
        <f>Volatilities_Resets!$E69*0.01</f>
        <v>2.9236300000000003E-2</v>
      </c>
      <c r="BP80" s="61">
        <f>IF(BN80=BQ$11,Volatilities_Resets!$AA69,IF(BN80&gt;=BP$11,IF(BN80&lt;BQ$11,(((Volatilities_Resets!$AA69-Volatilities_Resets!$Y69)/50)*((Calculator!BN80-Calculator!BP$11)*10000)+Volatilities_Resets!$Y69)),IF(BN80&gt;=BP$10,IF(BN80&lt;BQ$10,(((Volatilities_Resets!$Y69-Volatilities_Resets!$W69)/50)*((Calculator!BN80-Calculator!BP$10)*10000)+Volatilities_Resets!$W69)),IF(BN80&gt;=BP$9,IF(BN80&lt;BQ$9,(((Volatilities_Resets!$W69-Volatilities_Resets!$U69)/50)*((Calculator!BN80-Calculator!BP$9)*10000)+Volatilities_Resets!$U69)),IF(BN80&gt;=BP$8,IF(BN80&lt;BQ$8,(((Volatilities_Resets!$U69-Volatilities_Resets!$S69)/50)*((Calculator!BN80-Calculator!BP$8)*10000)+Volatilities_Resets!$S69)),IF(BN80&gt;=BP$7,IF(BN80&lt;BQ$7,(((Volatilities_Resets!$S69-Volatilities_Resets!$Q69)/50)*((Calculator!BN80-Calculator!BP$7)*10000)+Volatilities_Resets!$Q69)),IF(BN80&gt;=BP$6,IF(BN80&lt;BQ$6,(((Volatilities_Resets!$Q69-Volatilities_Resets!$O69)/50)*((Calculator!BN80-Calculator!BP$6)*10000)+Volatilities_Resets!$O69)),IF(BN80&gt;=BP$5,IF(BN80&lt;BQ$5,(((Volatilities_Resets!$O69-Volatilities_Resets!$M69)/50)*((Calculator!BN80-Calculator!BP$5)*10000)+Volatilities_Resets!$M69)),IF(BN80&gt;=BP$4,IF(BN80&lt;BQ$4,(((Volatilities_Resets!$M69-Volatilities_Resets!$K69)/50)*((Calculator!BN80-Calculator!BP$4)*10000)+Volatilities_Resets!$K69)),IF(BN80&gt;=BP$3,IF(BN80&lt;BQ$3,(((Volatilities_Resets!$K69-Volatilities_Resets!$I69)/50)*((Calculator!BN80-Calculator!BP$3)*10000)+Volatilities_Resets!$I69)),IF(BN80&gt;=BP$2,IF(BN80&lt;BQ$2,(((Volatilities_Resets!$I69-Volatilities_Resets!$G69)/50)*((Calculator!BN80-Calculator!BP$2)*10000)+Volatilities_Resets!$G69)),"Well, something broke...")))))))))))/10000</f>
        <v>1.3493000000000002E-2</v>
      </c>
      <c r="BQ80" s="63">
        <f t="shared" ref="BQ80:BQ98" ca="1" si="88">(((BO80-BN80)*(NORMDIST((BO80-BN80)/(BP80*SQRT(BL80)),0,1,TRUE)))+((BP80*SQRT(BL80))*(NORMDIST((BO80-BN80)/(BP80*SQRT(BL80)),0,1,FALSE))))*BY80*(BK80/360)*BM80</f>
        <v>8900.32130837767</v>
      </c>
      <c r="BR80" s="63">
        <f t="shared" ref="BR80:BR98" ca="1" si="89">(((BO80-BN80)*(NORMDIST((BO80-BN80)/((BP80+0.0001)*SQRT(BL80)),0,1,TRUE)))+((BP80+0.0001)*SQRT(BL80))*(NORMDIST((BO80-BN80)/((BP80+0.0001)*SQRT(BL80)),0,1,FALSE)))*BY80*(BK80/360)</f>
        <v>3.6151211089777466E-4</v>
      </c>
      <c r="BS80" s="63">
        <f t="shared" ca="1" si="47"/>
        <v>513158.77012010844</v>
      </c>
      <c r="BV80" s="63">
        <f t="shared" ref="BV80:BV98" ca="1" si="90">((BR80-(BQ80/BM80))*BM80)*BY80</f>
        <v>114.92108106655037</v>
      </c>
      <c r="BW80" s="63">
        <f ca="1">SUM($BV$15:BV80)</f>
        <v>5630.6934145490241</v>
      </c>
      <c r="BY80" s="52">
        <f ca="1">EXP(-AVERAGE(BO$15:BO80)*BL80)</f>
        <v>0.83590236579673349</v>
      </c>
      <c r="CA80" s="52">
        <f t="shared" ref="CA80:CA98" ca="1" si="91">IF(CB80="","",CA79+1)</f>
        <v>66</v>
      </c>
      <c r="CB80" s="71">
        <f t="shared" ref="CB80:CB98" ca="1" si="92">EDATE(CB79,1)</f>
        <v>46988</v>
      </c>
      <c r="CC80" s="71">
        <f t="shared" ca="1" si="67"/>
        <v>47019</v>
      </c>
      <c r="CD80" s="72">
        <f t="shared" ca="1" si="68"/>
        <v>31</v>
      </c>
      <c r="CE80" s="73">
        <f ca="1">SUM(CD$15:CD80)/360</f>
        <v>5.5861111111111112</v>
      </c>
      <c r="CF80" s="74">
        <f t="shared" si="69"/>
        <v>25000000</v>
      </c>
      <c r="CG80" s="59">
        <f t="shared" ref="CG80:CG98" si="93">CA$13</f>
        <v>0.06</v>
      </c>
      <c r="CH80" s="57">
        <f>Volatilities_Resets!$E69*0.01</f>
        <v>2.9236300000000003E-2</v>
      </c>
      <c r="CI80" s="61">
        <f>IF(CG80=CJ$11,Volatilities_Resets!$AA69,IF(CG80&gt;=CI$11,IF(CG80&lt;CJ$11,(((Volatilities_Resets!$AA69-Volatilities_Resets!$Y69)/50)*((Calculator!CG80-Calculator!CI$11)*10000)+Volatilities_Resets!$Y69)),IF(CG80&gt;=CI$10,IF(CG80&lt;CJ$10,(((Volatilities_Resets!$Y69-Volatilities_Resets!$W69)/50)*((Calculator!CG80-Calculator!CI$10)*10000)+Volatilities_Resets!$W69)),IF(CG80&gt;=CI$9,IF(CG80&lt;CJ$9,(((Volatilities_Resets!$W69-Volatilities_Resets!$U69)/50)*((Calculator!CG80-Calculator!CI$9)*10000)+Volatilities_Resets!$U69)),IF(CG80&gt;=CI$8,IF(CG80&lt;CJ$8,(((Volatilities_Resets!$U69-Volatilities_Resets!$S69)/50)*((Calculator!CG80-Calculator!CI$8)*10000)+Volatilities_Resets!$S69)),IF(CG80&gt;=CI$7,IF(CG80&lt;CJ$7,(((Volatilities_Resets!$S69-Volatilities_Resets!$Q69)/50)*((Calculator!CG80-Calculator!CI$7)*10000)+Volatilities_Resets!$Q69)),IF(CG80&gt;=CI$6,IF(CG80&lt;CJ$6,(((Volatilities_Resets!$Q69-Volatilities_Resets!$O69)/50)*((Calculator!CG80-Calculator!CI$6)*10000)+Volatilities_Resets!$O69)),IF(CG80&gt;=CI$5,IF(CG80&lt;CJ$5,(((Volatilities_Resets!$O69-Volatilities_Resets!$M69)/50)*((Calculator!CG80-Calculator!CI$5)*10000)+Volatilities_Resets!$M69)),IF(CG80&gt;=CI$4,IF(CG80&lt;CJ$4,(((Volatilities_Resets!$M69-Volatilities_Resets!$K69)/50)*((Calculator!CG80-Calculator!CI$4)*10000)+Volatilities_Resets!$K69)),IF(CG80&gt;=CI$3,IF(CG80&lt;CJ$3,(((Volatilities_Resets!$K69-Volatilities_Resets!$I69)/50)*((Calculator!CG80-Calculator!CI$3)*10000)+Volatilities_Resets!$I69)),IF(CG80&gt;=CI$2,IF(CG80&lt;CJ$2,(((Volatilities_Resets!$I69-Volatilities_Resets!$G69)/50)*((Calculator!CG80-Calculator!CI$2)*10000)+Volatilities_Resets!$G69)),"Well, something broke...")))))))))))/10000</f>
        <v>1.4771000000000001E-2</v>
      </c>
      <c r="CJ80" s="63">
        <f t="shared" ref="CJ80:CJ98" ca="1" si="94">(((CH80-CG80)*(NORMDIST((CH80-CG80)/(CI80*SQRT(CE80)),0,1,TRUE)))+((CI80*SQRT(CE80))*(NORMDIST((CH80-CG80)/(CI80*SQRT(CE80)),0,1,FALSE))))*CR80*(CD80/360)*CF80</f>
        <v>6529.77050381752</v>
      </c>
      <c r="CK80" s="63">
        <f t="shared" ref="CK80:CK98" ca="1" si="95">(((CH80-CG80)*(NORMDIST((CH80-CG80)/((CI80+0.0001)*SQRT(CE80)),0,1,TRUE)))+((CI80+0.0001)*SQRT(CE80))*(NORMDIST((CH80-CG80)/((CI80+0.0001)*SQRT(CE80)),0,1,FALSE)))*CR80*(CD80/360)</f>
        <v>2.6580608547346587E-4</v>
      </c>
      <c r="CL80" s="63">
        <f t="shared" ca="1" si="48"/>
        <v>305030.91256923642</v>
      </c>
      <c r="CO80" s="63">
        <f t="shared" ref="CO80:CO98" ca="1" si="96">((CK80-(CJ80/CF80))*CF80)*CR80</f>
        <v>96.447780010178249</v>
      </c>
      <c r="CP80" s="63">
        <f ca="1">SUM($CO$15:CO80)</f>
        <v>4364.9270825857666</v>
      </c>
      <c r="CR80" s="52">
        <f ca="1">EXP(-AVERAGE(CH$15:CH80)*CE80)</f>
        <v>0.83590236579673349</v>
      </c>
      <c r="CT80"/>
      <c r="CU80"/>
      <c r="CV80"/>
      <c r="CW80"/>
      <c r="CX80"/>
      <c r="CY80"/>
      <c r="CZ80"/>
      <c r="DA80"/>
      <c r="DB80"/>
      <c r="DC80"/>
      <c r="DD80"/>
      <c r="DE80"/>
      <c r="DF80"/>
      <c r="DG80"/>
      <c r="DH80"/>
      <c r="DI80"/>
      <c r="DJ80"/>
      <c r="DK80"/>
      <c r="DL80"/>
    </row>
    <row r="81" spans="2:116" ht="15.75" customHeight="1">
      <c r="B81" s="52">
        <v>6</v>
      </c>
      <c r="C81" s="52">
        <f t="shared" ca="1" si="52"/>
        <v>67</v>
      </c>
      <c r="D81" s="71">
        <f t="shared" ca="1" si="70"/>
        <v>47019</v>
      </c>
      <c r="E81" s="71">
        <f t="shared" ca="1" si="53"/>
        <v>47049</v>
      </c>
      <c r="F81" s="72">
        <f t="shared" ca="1" si="54"/>
        <v>30</v>
      </c>
      <c r="G81" s="73">
        <f ca="1">SUM($F$15:F81)/360</f>
        <v>5.6694444444444443</v>
      </c>
      <c r="H81" s="74">
        <f t="shared" si="56"/>
        <v>25000000</v>
      </c>
      <c r="I81" s="59">
        <f>IF('Cap Pricer'!$E$22=DataValidation!$C$2,'Cap Pricer'!$E$23,IF('Cap Pricer'!$E$22=DataValidation!$C$3,VLOOKUP($B81,'Cap Pricer'!$C$25:$E$31,3),""))</f>
        <v>0.02</v>
      </c>
      <c r="J81" s="57">
        <f>Volatilities_Resets!$E70*0.01</f>
        <v>2.92351E-2</v>
      </c>
      <c r="K81" s="61">
        <f>IF(I81=L$11,Volatilities_Resets!$AA70,IF(I81&gt;=K$11,IF(I81&lt;L$11,(((Volatilities_Resets!$AA70-Volatilities_Resets!$Y70)/50)*((Calculator!I81-Calculator!K$11)*10000)+Volatilities_Resets!$Y70)),IF(I81&gt;=K$10,IF(I81&lt;L$10,(((Volatilities_Resets!$Y70-Volatilities_Resets!$W70)/50)*((Calculator!I81-Calculator!K$10)*10000)+Volatilities_Resets!$W70)),IF(I81&gt;=K$9,IF(I81&lt;L$9,(((Volatilities_Resets!$W70-Volatilities_Resets!$U70)/50)*((Calculator!I81-Calculator!K$9)*10000)+Volatilities_Resets!$U70)),IF(I81&gt;=K$8,IF(I81&lt;L$8,(((Volatilities_Resets!$U70-Volatilities_Resets!$S70)/50)*((Calculator!I81-Calculator!K$8)*10000)+Volatilities_Resets!$S70)),IF(I81&gt;=K$7,IF(I81&lt;L$7,(((Volatilities_Resets!$S70-Volatilities_Resets!$Q70)/50)*((Calculator!I81-Calculator!K$7)*10000)+Volatilities_Resets!$Q70)),IF(I81&gt;=K$6,IF(I81&lt;L$6,(((Volatilities_Resets!$Q70-Volatilities_Resets!$O70)/50)*((Calculator!I81-Calculator!K$6)*10000)+Volatilities_Resets!$O70)),IF(I81&gt;=K$5,IF(I81&lt;L$5,(((Volatilities_Resets!$O70-Volatilities_Resets!$M70)/50)*((Calculator!I81-Calculator!K$5)*10000)+Volatilities_Resets!$M70)),IF(I81&gt;=K$4,IF(I81&lt;L$4,(((Volatilities_Resets!$M70-Volatilities_Resets!$K70)/50)*((Calculator!I81-Calculator!K$4)*10000)+Volatilities_Resets!$K70)),IF(I81&gt;=K$3,IF(I81&lt;L$3,(((Volatilities_Resets!$K70-Volatilities_Resets!$I70)/50)*((Calculator!I81-Calculator!K$3)*10000)+Volatilities_Resets!$I70)),IF(I81&gt;=K$2,IF(I81&lt;L$2,(((Volatilities_Resets!$I70-Volatilities_Resets!$G70)/50)*((Calculator!I81-Calculator!K$2)*10000)+Volatilities_Resets!$G70)),"Well, something broke...")))))))))))/10000</f>
        <v>1.1936E-2</v>
      </c>
      <c r="L81" s="47">
        <f t="shared" ca="1" si="71"/>
        <v>28749.462180818198</v>
      </c>
      <c r="M81" s="63">
        <f t="shared" ca="1" si="72"/>
        <v>1.1562426059708937E-3</v>
      </c>
      <c r="N81" s="63">
        <f t="shared" ca="1" si="55"/>
        <v>2296946.1668615071</v>
      </c>
      <c r="Q81" s="63">
        <f t="shared" ca="1" si="73"/>
        <v>130.58674080582139</v>
      </c>
      <c r="R81" s="63">
        <f ca="1">SUM($Q$15:Q81)</f>
        <v>6492.8607927296744</v>
      </c>
      <c r="T81" s="52">
        <f ca="1">EXP(-AVERAGE(J$15:J81)*G81)</f>
        <v>0.83387142718217133</v>
      </c>
      <c r="U81" s="57"/>
      <c r="V81" s="52">
        <f t="shared" ca="1" si="74"/>
        <v>67</v>
      </c>
      <c r="W81" s="71">
        <f t="shared" ca="1" si="75"/>
        <v>47019</v>
      </c>
      <c r="X81" s="71">
        <f t="shared" ca="1" si="57"/>
        <v>47049</v>
      </c>
      <c r="Y81" s="72">
        <f t="shared" ca="1" si="58"/>
        <v>30</v>
      </c>
      <c r="Z81" s="73">
        <f ca="1">SUM(Y$15:Y81)/360</f>
        <v>5.6694444444444443</v>
      </c>
      <c r="AA81" s="74">
        <f t="shared" si="59"/>
        <v>25000000</v>
      </c>
      <c r="AB81" s="59">
        <f t="shared" si="76"/>
        <v>0.03</v>
      </c>
      <c r="AC81" s="57">
        <f>Volatilities_Resets!$E70*0.01</f>
        <v>2.92351E-2</v>
      </c>
      <c r="AD81" s="61">
        <f>IF(AB81=AE$11,Volatilities_Resets!$AA70,IF(AB81&gt;=AD$11,IF(AB81&lt;AE$11,(((Volatilities_Resets!$AA70-Volatilities_Resets!$Y70)/50)*((Calculator!AB81-Calculator!AD$11)*10000)+Volatilities_Resets!$Y70)),IF(AB81&gt;=AD$10,IF(AB81&lt;AE$10,(((Volatilities_Resets!$Y70-Volatilities_Resets!$W70)/50)*((Calculator!AB81-Calculator!AD$10)*10000)+Volatilities_Resets!$W70)),IF(AB81&gt;=AD$9,IF(AB81&lt;AE$9,(((Volatilities_Resets!$W70-Volatilities_Resets!$U70)/50)*((Calculator!AB81-Calculator!AD$9)*10000)+Volatilities_Resets!$U70)),IF(AB81&gt;=AD$8,IF(AB81&lt;AE$8,(((Volatilities_Resets!$U70-Volatilities_Resets!$S70)/50)*((Calculator!AB81-Calculator!AD$8)*10000)+Volatilities_Resets!$S70)),IF(AB81&gt;=AD$7,IF(AB81&lt;AE$7,(((Volatilities_Resets!$S70-Volatilities_Resets!$Q70)/50)*((Calculator!AB81-Calculator!AD$7)*10000)+Volatilities_Resets!$Q70)),IF(AB81&gt;=AD$6,IF(AB81&lt;AE$6,(((Volatilities_Resets!$Q70-Volatilities_Resets!$O70)/50)*((Calculator!AB81-Calculator!AD$6)*10000)+Volatilities_Resets!$O70)),IF(AB81&gt;=AD$5,IF(AB81&lt;AE$5,(((Volatilities_Resets!$O70-Volatilities_Resets!$M70)/50)*((Calculator!AB81-Calculator!AD$5)*10000)+Volatilities_Resets!$M70)),IF(AB81&gt;=AD$4,IF(AB81&lt;AE$4,(((Volatilities_Resets!$M70-Volatilities_Resets!$K70)/50)*((Calculator!AB81-Calculator!AD$4)*10000)+Volatilities_Resets!$K70)),IF(AB81&gt;=AD$3,IF(AB81&lt;AE$3,(((Volatilities_Resets!$K70-Volatilities_Resets!$I70)/50)*((Calculator!AB81-Calculator!AD$3)*10000)+Volatilities_Resets!$I70)),IF(AB81&gt;=AD$2,IF(AB81&lt;AE$2,(((Volatilities_Resets!$I70-Volatilities_Resets!$G70)/50)*((Calculator!AB81-Calculator!AD$2)*10000)+Volatilities_Resets!$G70)),"Well, something broke...")))))))))))/10000</f>
        <v>1.1936E-2</v>
      </c>
      <c r="AE81" s="63">
        <f t="shared" ca="1" si="77"/>
        <v>19039.588228271219</v>
      </c>
      <c r="AF81" s="63">
        <f t="shared" ca="1" si="78"/>
        <v>7.6818198292489094E-4</v>
      </c>
      <c r="AG81" s="63">
        <f t="shared" ca="1" si="45"/>
        <v>1513861.6134295471</v>
      </c>
      <c r="AJ81" s="63">
        <f t="shared" ca="1" si="79"/>
        <v>137.55655206083929</v>
      </c>
      <c r="AK81" s="63">
        <f ca="1">SUM($AJ$15:AJ81)</f>
        <v>7007.888610532742</v>
      </c>
      <c r="AM81" s="52">
        <f ca="1">EXP(-AVERAGE(AC$15:AC81)*Z81)</f>
        <v>0.83387142718217133</v>
      </c>
      <c r="AO81" s="52">
        <f t="shared" ca="1" si="80"/>
        <v>67</v>
      </c>
      <c r="AP81" s="71">
        <f t="shared" ca="1" si="81"/>
        <v>47019</v>
      </c>
      <c r="AQ81" s="71">
        <f t="shared" ca="1" si="60"/>
        <v>47049</v>
      </c>
      <c r="AR81" s="72">
        <f t="shared" ca="1" si="61"/>
        <v>30</v>
      </c>
      <c r="AS81" s="73">
        <f ca="1">SUM(AR$15:AR81)/360</f>
        <v>5.6694444444444443</v>
      </c>
      <c r="AT81" s="74">
        <f t="shared" si="62"/>
        <v>25000000</v>
      </c>
      <c r="AU81" s="59">
        <f t="shared" si="82"/>
        <v>0.04</v>
      </c>
      <c r="AV81" s="57">
        <f>Volatilities_Resets!$E70*0.01</f>
        <v>2.92351E-2</v>
      </c>
      <c r="AW81" s="61">
        <f>IF(AU81=AX$11,Volatilities_Resets!$AA70,IF(AU81&gt;=AW$11,IF(AU81&lt;AX$11,(((Volatilities_Resets!$AA70-Volatilities_Resets!$Y70)/50)*((Calculator!AU81-Calculator!AW$11)*10000)+Volatilities_Resets!$Y70)),IF(AU81&gt;=AW$10,IF(AU81&lt;AX$10,(((Volatilities_Resets!$Y70-Volatilities_Resets!$W70)/50)*((Calculator!AU81-Calculator!AW$10)*10000)+Volatilities_Resets!$W70)),IF(AU81&gt;=AW$9,IF(AU81&lt;AX$9,(((Volatilities_Resets!$W70-Volatilities_Resets!$U70)/50)*((Calculator!AU81-Calculator!AW$9)*10000)+Volatilities_Resets!$U70)),IF(AU81&gt;=AW$8,IF(AU81&lt;AX$8,(((Volatilities_Resets!$U70-Volatilities_Resets!$S70)/50)*((Calculator!AU81-Calculator!AW$8)*10000)+Volatilities_Resets!$S70)),IF(AU81&gt;=AW$7,IF(AU81&lt;AX$7,(((Volatilities_Resets!$S70-Volatilities_Resets!$Q70)/50)*((Calculator!AU81-Calculator!AW$7)*10000)+Volatilities_Resets!$Q70)),IF(AU81&gt;=AW$6,IF(AU81&lt;AX$6,(((Volatilities_Resets!$Q70-Volatilities_Resets!$O70)/50)*((Calculator!AU81-Calculator!AW$6)*10000)+Volatilities_Resets!$O70)),IF(AU81&gt;=AW$5,IF(AU81&lt;AX$5,(((Volatilities_Resets!$O70-Volatilities_Resets!$M70)/50)*((Calculator!AU81-Calculator!AW$5)*10000)+Volatilities_Resets!$M70)),IF(AU81&gt;=AW$4,IF(AU81&lt;AX$4,(((Volatilities_Resets!$M70-Volatilities_Resets!$K70)/50)*((Calculator!AU81-Calculator!AW$4)*10000)+Volatilities_Resets!$K70)),IF(AU81&gt;=AW$3,IF(AU81&lt;AX$3,(((Volatilities_Resets!$K70-Volatilities_Resets!$I70)/50)*((Calculator!AU81-Calculator!AW$3)*10000)+Volatilities_Resets!$I70)),IF(AU81&gt;=AW$2,IF(AU81&lt;AX$2,(((Volatilities_Resets!$I70-Volatilities_Resets!$G70)/50)*((Calculator!AU81-Calculator!AW$2)*10000)+Volatilities_Resets!$G70)),"Well, something broke...")))))))))))/10000</f>
        <v>1.2485E-2</v>
      </c>
      <c r="AX81" s="63">
        <f t="shared" ca="1" si="83"/>
        <v>12588.512603965528</v>
      </c>
      <c r="AY81" s="63">
        <f t="shared" ca="1" si="84"/>
        <v>5.097256493928825E-4</v>
      </c>
      <c r="AZ81" s="63">
        <f t="shared" ca="1" si="46"/>
        <v>926665.66302880261</v>
      </c>
      <c r="BC81" s="63">
        <f t="shared" ca="1" si="63"/>
        <v>128.94039709556358</v>
      </c>
      <c r="BD81" s="63">
        <f ca="1">SUM($BC$15:BC81)</f>
        <v>6690.0894443245434</v>
      </c>
      <c r="BF81" s="52">
        <f ca="1">EXP(-AVERAGE(AV$15:AV81)*AS81)</f>
        <v>0.83387142718217133</v>
      </c>
      <c r="BH81" s="52">
        <f t="shared" ca="1" si="85"/>
        <v>67</v>
      </c>
      <c r="BI81" s="71">
        <f t="shared" ca="1" si="86"/>
        <v>47019</v>
      </c>
      <c r="BJ81" s="71">
        <f t="shared" ca="1" si="64"/>
        <v>47049</v>
      </c>
      <c r="BK81" s="72">
        <f t="shared" ca="1" si="65"/>
        <v>30</v>
      </c>
      <c r="BL81" s="73">
        <f ca="1">SUM(BK$15:BK81)/360</f>
        <v>5.6694444444444443</v>
      </c>
      <c r="BM81" s="74">
        <f t="shared" si="66"/>
        <v>25000000</v>
      </c>
      <c r="BN81" s="59">
        <f t="shared" si="87"/>
        <v>0.05</v>
      </c>
      <c r="BO81" s="57">
        <f>Volatilities_Resets!$E70*0.01</f>
        <v>2.92351E-2</v>
      </c>
      <c r="BP81" s="61">
        <f>IF(BN81=BQ$11,Volatilities_Resets!$AA70,IF(BN81&gt;=BP$11,IF(BN81&lt;BQ$11,(((Volatilities_Resets!$AA70-Volatilities_Resets!$Y70)/50)*((Calculator!BN81-Calculator!BP$11)*10000)+Volatilities_Resets!$Y70)),IF(BN81&gt;=BP$10,IF(BN81&lt;BQ$10,(((Volatilities_Resets!$Y70-Volatilities_Resets!$W70)/50)*((Calculator!BN81-Calculator!BP$10)*10000)+Volatilities_Resets!$W70)),IF(BN81&gt;=BP$9,IF(BN81&lt;BQ$9,(((Volatilities_Resets!$W70-Volatilities_Resets!$U70)/50)*((Calculator!BN81-Calculator!BP$9)*10000)+Volatilities_Resets!$U70)),IF(BN81&gt;=BP$8,IF(BN81&lt;BQ$8,(((Volatilities_Resets!$U70-Volatilities_Resets!$S70)/50)*((Calculator!BN81-Calculator!BP$8)*10000)+Volatilities_Resets!$S70)),IF(BN81&gt;=BP$7,IF(BN81&lt;BQ$7,(((Volatilities_Resets!$S70-Volatilities_Resets!$Q70)/50)*((Calculator!BN81-Calculator!BP$7)*10000)+Volatilities_Resets!$Q70)),IF(BN81&gt;=BP$6,IF(BN81&lt;BQ$6,(((Volatilities_Resets!$Q70-Volatilities_Resets!$O70)/50)*((Calculator!BN81-Calculator!BP$6)*10000)+Volatilities_Resets!$O70)),IF(BN81&gt;=BP$5,IF(BN81&lt;BQ$5,(((Volatilities_Resets!$O70-Volatilities_Resets!$M70)/50)*((Calculator!BN81-Calculator!BP$5)*10000)+Volatilities_Resets!$M70)),IF(BN81&gt;=BP$4,IF(BN81&lt;BQ$4,(((Volatilities_Resets!$M70-Volatilities_Resets!$K70)/50)*((Calculator!BN81-Calculator!BP$4)*10000)+Volatilities_Resets!$K70)),IF(BN81&gt;=BP$3,IF(BN81&lt;BQ$3,(((Volatilities_Resets!$K70-Volatilities_Resets!$I70)/50)*((Calculator!BN81-Calculator!BP$3)*10000)+Volatilities_Resets!$I70)),IF(BN81&gt;=BP$2,IF(BN81&lt;BQ$2,(((Volatilities_Resets!$I70-Volatilities_Resets!$G70)/50)*((Calculator!BN81-Calculator!BP$2)*10000)+Volatilities_Resets!$G70)),"Well, something broke...")))))))))))/10000</f>
        <v>1.3493000000000002E-2</v>
      </c>
      <c r="BQ81" s="63">
        <f t="shared" ca="1" si="88"/>
        <v>8724.8312462233425</v>
      </c>
      <c r="BR81" s="63">
        <f t="shared" ca="1" si="89"/>
        <v>3.5435807281422984E-4</v>
      </c>
      <c r="BS81" s="63">
        <f t="shared" ca="1" si="47"/>
        <v>521883.6013663318</v>
      </c>
      <c r="BV81" s="63">
        <f t="shared" ca="1" si="90"/>
        <v>111.83931456627897</v>
      </c>
      <c r="BW81" s="63">
        <f ca="1">SUM($BV$15:BV81)</f>
        <v>5742.5327291153026</v>
      </c>
      <c r="BY81" s="52">
        <f ca="1">EXP(-AVERAGE(BO$15:BO81)*BL81)</f>
        <v>0.83387142718217133</v>
      </c>
      <c r="CA81" s="52">
        <f t="shared" ca="1" si="91"/>
        <v>67</v>
      </c>
      <c r="CB81" s="71">
        <f t="shared" ca="1" si="92"/>
        <v>47019</v>
      </c>
      <c r="CC81" s="71">
        <f t="shared" ca="1" si="67"/>
        <v>47049</v>
      </c>
      <c r="CD81" s="72">
        <f t="shared" ca="1" si="68"/>
        <v>30</v>
      </c>
      <c r="CE81" s="73">
        <f ca="1">SUM(CD$15:CD81)/360</f>
        <v>5.6694444444444443</v>
      </c>
      <c r="CF81" s="74">
        <f t="shared" si="69"/>
        <v>25000000</v>
      </c>
      <c r="CG81" s="59">
        <f t="shared" si="93"/>
        <v>0.06</v>
      </c>
      <c r="CH81" s="57">
        <f>Volatilities_Resets!$E70*0.01</f>
        <v>2.92351E-2</v>
      </c>
      <c r="CI81" s="61">
        <f>IF(CG81=CJ$11,Volatilities_Resets!$AA70,IF(CG81&gt;=CI$11,IF(CG81&lt;CJ$11,(((Volatilities_Resets!$AA70-Volatilities_Resets!$Y70)/50)*((Calculator!CG81-Calculator!CI$11)*10000)+Volatilities_Resets!$Y70)),IF(CG81&gt;=CI$10,IF(CG81&lt;CJ$10,(((Volatilities_Resets!$Y70-Volatilities_Resets!$W70)/50)*((Calculator!CG81-Calculator!CI$10)*10000)+Volatilities_Resets!$W70)),IF(CG81&gt;=CI$9,IF(CG81&lt;CJ$9,(((Volatilities_Resets!$W70-Volatilities_Resets!$U70)/50)*((Calculator!CG81-Calculator!CI$9)*10000)+Volatilities_Resets!$U70)),IF(CG81&gt;=CI$8,IF(CG81&lt;CJ$8,(((Volatilities_Resets!$U70-Volatilities_Resets!$S70)/50)*((Calculator!CG81-Calculator!CI$8)*10000)+Volatilities_Resets!$S70)),IF(CG81&gt;=CI$7,IF(CG81&lt;CJ$7,(((Volatilities_Resets!$S70-Volatilities_Resets!$Q70)/50)*((Calculator!CG81-Calculator!CI$7)*10000)+Volatilities_Resets!$Q70)),IF(CG81&gt;=CI$6,IF(CG81&lt;CJ$6,(((Volatilities_Resets!$Q70-Volatilities_Resets!$O70)/50)*((Calculator!CG81-Calculator!CI$6)*10000)+Volatilities_Resets!$O70)),IF(CG81&gt;=CI$5,IF(CG81&lt;CJ$5,(((Volatilities_Resets!$O70-Volatilities_Resets!$M70)/50)*((Calculator!CG81-Calculator!CI$5)*10000)+Volatilities_Resets!$M70)),IF(CG81&gt;=CI$4,IF(CG81&lt;CJ$4,(((Volatilities_Resets!$M70-Volatilities_Resets!$K70)/50)*((Calculator!CG81-Calculator!CI$4)*10000)+Volatilities_Resets!$K70)),IF(CG81&gt;=CI$3,IF(CG81&lt;CJ$3,(((Volatilities_Resets!$K70-Volatilities_Resets!$I70)/50)*((Calculator!CG81-Calculator!CI$3)*10000)+Volatilities_Resets!$I70)),IF(CG81&gt;=CI$2,IF(CG81&lt;CJ$2,(((Volatilities_Resets!$I70-Volatilities_Resets!$G70)/50)*((Calculator!CG81-Calculator!CI$2)*10000)+Volatilities_Resets!$G70)),"Well, something broke...")))))))))))/10000</f>
        <v>1.4772E-2</v>
      </c>
      <c r="CJ81" s="63">
        <f t="shared" ca="1" si="94"/>
        <v>6426.8077884190279</v>
      </c>
      <c r="CK81" s="63">
        <f t="shared" ca="1" si="95"/>
        <v>2.615865698181155E-4</v>
      </c>
      <c r="CL81" s="63">
        <f t="shared" ca="1" si="48"/>
        <v>311457.72035765543</v>
      </c>
      <c r="CO81" s="63">
        <f t="shared" ca="1" si="96"/>
        <v>94.107774893547614</v>
      </c>
      <c r="CP81" s="63">
        <f ca="1">SUM($CO$15:CO81)</f>
        <v>4459.0348574793143</v>
      </c>
      <c r="CR81" s="52">
        <f ca="1">EXP(-AVERAGE(CH$15:CH81)*CE81)</f>
        <v>0.83387142718217133</v>
      </c>
      <c r="CT81"/>
      <c r="CU81"/>
      <c r="CV81"/>
      <c r="CW81"/>
      <c r="CX81"/>
      <c r="CY81"/>
      <c r="CZ81"/>
      <c r="DA81"/>
      <c r="DB81"/>
      <c r="DC81"/>
      <c r="DD81"/>
      <c r="DE81"/>
      <c r="DF81"/>
      <c r="DG81"/>
      <c r="DH81"/>
      <c r="DI81"/>
      <c r="DJ81"/>
      <c r="DK81"/>
      <c r="DL81"/>
    </row>
    <row r="82" spans="2:116" ht="15.75" customHeight="1">
      <c r="B82" s="52">
        <v>6</v>
      </c>
      <c r="C82" s="52">
        <f t="shared" ca="1" si="52"/>
        <v>68</v>
      </c>
      <c r="D82" s="71">
        <f t="shared" ca="1" si="70"/>
        <v>47049</v>
      </c>
      <c r="E82" s="71">
        <f t="shared" ca="1" si="53"/>
        <v>47080</v>
      </c>
      <c r="F82" s="72">
        <f t="shared" ca="1" si="54"/>
        <v>31</v>
      </c>
      <c r="G82" s="73">
        <f ca="1">SUM($F$15:F82)/360</f>
        <v>5.7555555555555555</v>
      </c>
      <c r="H82" s="74">
        <f t="shared" si="56"/>
        <v>25000000</v>
      </c>
      <c r="I82" s="59">
        <f>IF('Cap Pricer'!$E$22=DataValidation!$C$2,'Cap Pricer'!$E$23,IF('Cap Pricer'!$E$22=DataValidation!$C$3,VLOOKUP($B82,'Cap Pricer'!$C$25:$E$31,3),""))</f>
        <v>0.02</v>
      </c>
      <c r="J82" s="57">
        <f>Volatilities_Resets!$E71*0.01</f>
        <v>2.9238699999999999E-2</v>
      </c>
      <c r="K82" s="61">
        <f>IF(I82=L$11,Volatilities_Resets!$AA71,IF(I82&gt;=K$11,IF(I82&lt;L$11,(((Volatilities_Resets!$AA71-Volatilities_Resets!$Y71)/50)*((Calculator!I82-Calculator!K$11)*10000)+Volatilities_Resets!$Y71)),IF(I82&gt;=K$10,IF(I82&lt;L$10,(((Volatilities_Resets!$Y71-Volatilities_Resets!$W71)/50)*((Calculator!I82-Calculator!K$10)*10000)+Volatilities_Resets!$W71)),IF(I82&gt;=K$9,IF(I82&lt;L$9,(((Volatilities_Resets!$W71-Volatilities_Resets!$U71)/50)*((Calculator!I82-Calculator!K$9)*10000)+Volatilities_Resets!$U71)),IF(I82&gt;=K$8,IF(I82&lt;L$8,(((Volatilities_Resets!$U71-Volatilities_Resets!$S71)/50)*((Calculator!I82-Calculator!K$8)*10000)+Volatilities_Resets!$S71)),IF(I82&gt;=K$7,IF(I82&lt;L$7,(((Volatilities_Resets!$S71-Volatilities_Resets!$Q71)/50)*((Calculator!I82-Calculator!K$7)*10000)+Volatilities_Resets!$Q71)),IF(I82&gt;=K$6,IF(I82&lt;L$6,(((Volatilities_Resets!$Q71-Volatilities_Resets!$O71)/50)*((Calculator!I82-Calculator!K$6)*10000)+Volatilities_Resets!$O71)),IF(I82&gt;=K$5,IF(I82&lt;L$5,(((Volatilities_Resets!$O71-Volatilities_Resets!$M71)/50)*((Calculator!I82-Calculator!K$5)*10000)+Volatilities_Resets!$M71)),IF(I82&gt;=K$4,IF(I82&lt;L$4,(((Volatilities_Resets!$M71-Volatilities_Resets!$K71)/50)*((Calculator!I82-Calculator!K$4)*10000)+Volatilities_Resets!$K71)),IF(I82&gt;=K$3,IF(I82&lt;L$3,(((Volatilities_Resets!$K71-Volatilities_Resets!$I71)/50)*((Calculator!I82-Calculator!K$3)*10000)+Volatilities_Resets!$I71)),IF(I82&gt;=K$2,IF(I82&lt;L$2,(((Volatilities_Resets!$I71-Volatilities_Resets!$G71)/50)*((Calculator!I82-Calculator!K$2)*10000)+Volatilities_Resets!$G71)),"Well, something broke...")))))))))))/10000</f>
        <v>1.1936E-2</v>
      </c>
      <c r="L82" s="47">
        <f t="shared" ca="1" si="71"/>
        <v>29782.749053400748</v>
      </c>
      <c r="M82" s="63">
        <f t="shared" ca="1" si="72"/>
        <v>1.1978202662153948E-3</v>
      </c>
      <c r="N82" s="63">
        <f t="shared" ca="1" si="55"/>
        <v>2326728.9159149081</v>
      </c>
      <c r="Q82" s="63">
        <f t="shared" ca="1" si="73"/>
        <v>135.37707506801365</v>
      </c>
      <c r="R82" s="63">
        <f ca="1">SUM($Q$15:Q82)</f>
        <v>6628.2378677976876</v>
      </c>
      <c r="T82" s="52">
        <f ca="1">EXP(-AVERAGE(J$15:J82)*G82)</f>
        <v>0.83177113337673547</v>
      </c>
      <c r="U82" s="57"/>
      <c r="V82" s="52">
        <f t="shared" ca="1" si="74"/>
        <v>68</v>
      </c>
      <c r="W82" s="71">
        <f t="shared" ca="1" si="75"/>
        <v>47049</v>
      </c>
      <c r="X82" s="71">
        <f t="shared" ca="1" si="57"/>
        <v>47080</v>
      </c>
      <c r="Y82" s="72">
        <f t="shared" ca="1" si="58"/>
        <v>31</v>
      </c>
      <c r="Z82" s="73">
        <f ca="1">SUM(Y$15:Y82)/360</f>
        <v>5.7555555555555555</v>
      </c>
      <c r="AA82" s="74">
        <f t="shared" si="59"/>
        <v>25000000</v>
      </c>
      <c r="AB82" s="59">
        <f t="shared" si="76"/>
        <v>0.03</v>
      </c>
      <c r="AC82" s="57">
        <f>Volatilities_Resets!$E71*0.01</f>
        <v>2.9238699999999999E-2</v>
      </c>
      <c r="AD82" s="61">
        <f>IF(AB82=AE$11,Volatilities_Resets!$AA71,IF(AB82&gt;=AD$11,IF(AB82&lt;AE$11,(((Volatilities_Resets!$AA71-Volatilities_Resets!$Y71)/50)*((Calculator!AB82-Calculator!AD$11)*10000)+Volatilities_Resets!$Y71)),IF(AB82&gt;=AD$10,IF(AB82&lt;AE$10,(((Volatilities_Resets!$Y71-Volatilities_Resets!$W71)/50)*((Calculator!AB82-Calculator!AD$10)*10000)+Volatilities_Resets!$W71)),IF(AB82&gt;=AD$9,IF(AB82&lt;AE$9,(((Volatilities_Resets!$W71-Volatilities_Resets!$U71)/50)*((Calculator!AB82-Calculator!AD$9)*10000)+Volatilities_Resets!$U71)),IF(AB82&gt;=AD$8,IF(AB82&lt;AE$8,(((Volatilities_Resets!$U71-Volatilities_Resets!$S71)/50)*((Calculator!AB82-Calculator!AD$8)*10000)+Volatilities_Resets!$S71)),IF(AB82&gt;=AD$7,IF(AB82&lt;AE$7,(((Volatilities_Resets!$S71-Volatilities_Resets!$Q71)/50)*((Calculator!AB82-Calculator!AD$7)*10000)+Volatilities_Resets!$Q71)),IF(AB82&gt;=AD$6,IF(AB82&lt;AE$6,(((Volatilities_Resets!$Q71-Volatilities_Resets!$O71)/50)*((Calculator!AB82-Calculator!AD$6)*10000)+Volatilities_Resets!$O71)),IF(AB82&gt;=AD$5,IF(AB82&lt;AE$5,(((Volatilities_Resets!$O71-Volatilities_Resets!$M71)/50)*((Calculator!AB82-Calculator!AD$5)*10000)+Volatilities_Resets!$M71)),IF(AB82&gt;=AD$4,IF(AB82&lt;AE$4,(((Volatilities_Resets!$M71-Volatilities_Resets!$K71)/50)*((Calculator!AB82-Calculator!AD$4)*10000)+Volatilities_Resets!$K71)),IF(AB82&gt;=AD$3,IF(AB82&lt;AE$3,(((Volatilities_Resets!$K71-Volatilities_Resets!$I71)/50)*((Calculator!AB82-Calculator!AD$3)*10000)+Volatilities_Resets!$I71)),IF(AB82&gt;=AD$2,IF(AB82&lt;AE$2,(((Volatilities_Resets!$I71-Volatilities_Resets!$G71)/50)*((Calculator!AB82-Calculator!AD$2)*10000)+Volatilities_Resets!$G71)),"Well, something broke...")))))))))))/10000</f>
        <v>1.1936E-2</v>
      </c>
      <c r="AE82" s="63">
        <f t="shared" ca="1" si="77"/>
        <v>19781.386486822059</v>
      </c>
      <c r="AF82" s="63">
        <f t="shared" ca="1" si="78"/>
        <v>7.9810820366218202E-4</v>
      </c>
      <c r="AG82" s="63">
        <f t="shared" ref="AG82:AG98" ca="1" si="97">AG81+AE82</f>
        <v>1533642.9999163691</v>
      </c>
      <c r="AJ82" s="63">
        <f t="shared" ca="1" si="79"/>
        <v>142.49787002686645</v>
      </c>
      <c r="AK82" s="63">
        <f ca="1">SUM($AJ$15:AJ82)</f>
        <v>7150.3864805596086</v>
      </c>
      <c r="AM82" s="52">
        <f ca="1">EXP(-AVERAGE(AC$15:AC82)*Z82)</f>
        <v>0.83177113337673547</v>
      </c>
      <c r="AO82" s="52">
        <f t="shared" ca="1" si="80"/>
        <v>68</v>
      </c>
      <c r="AP82" s="71">
        <f t="shared" ca="1" si="81"/>
        <v>47049</v>
      </c>
      <c r="AQ82" s="71">
        <f t="shared" ca="1" si="60"/>
        <v>47080</v>
      </c>
      <c r="AR82" s="72">
        <f t="shared" ca="1" si="61"/>
        <v>31</v>
      </c>
      <c r="AS82" s="73">
        <f ca="1">SUM(AR$15:AR82)/360</f>
        <v>5.7555555555555555</v>
      </c>
      <c r="AT82" s="74">
        <f t="shared" si="62"/>
        <v>25000000</v>
      </c>
      <c r="AU82" s="59">
        <f t="shared" si="82"/>
        <v>0.04</v>
      </c>
      <c r="AV82" s="57">
        <f>Volatilities_Resets!$E71*0.01</f>
        <v>2.9238699999999999E-2</v>
      </c>
      <c r="AW82" s="61">
        <f>IF(AU82=AX$11,Volatilities_Resets!$AA71,IF(AU82&gt;=AW$11,IF(AU82&lt;AX$11,(((Volatilities_Resets!$AA71-Volatilities_Resets!$Y71)/50)*((Calculator!AU82-Calculator!AW$11)*10000)+Volatilities_Resets!$Y71)),IF(AU82&gt;=AW$10,IF(AU82&lt;AX$10,(((Volatilities_Resets!$Y71-Volatilities_Resets!$W71)/50)*((Calculator!AU82-Calculator!AW$10)*10000)+Volatilities_Resets!$W71)),IF(AU82&gt;=AW$9,IF(AU82&lt;AX$9,(((Volatilities_Resets!$W71-Volatilities_Resets!$U71)/50)*((Calculator!AU82-Calculator!AW$9)*10000)+Volatilities_Resets!$U71)),IF(AU82&gt;=AW$8,IF(AU82&lt;AX$8,(((Volatilities_Resets!$U71-Volatilities_Resets!$S71)/50)*((Calculator!AU82-Calculator!AW$8)*10000)+Volatilities_Resets!$S71)),IF(AU82&gt;=AW$7,IF(AU82&lt;AX$7,(((Volatilities_Resets!$S71-Volatilities_Resets!$Q71)/50)*((Calculator!AU82-Calculator!AW$7)*10000)+Volatilities_Resets!$Q71)),IF(AU82&gt;=AW$6,IF(AU82&lt;AX$6,(((Volatilities_Resets!$Q71-Volatilities_Resets!$O71)/50)*((Calculator!AU82-Calculator!AW$6)*10000)+Volatilities_Resets!$O71)),IF(AU82&gt;=AW$5,IF(AU82&lt;AX$5,(((Volatilities_Resets!$O71-Volatilities_Resets!$M71)/50)*((Calculator!AU82-Calculator!AW$5)*10000)+Volatilities_Resets!$M71)),IF(AU82&gt;=AW$4,IF(AU82&lt;AX$4,(((Volatilities_Resets!$M71-Volatilities_Resets!$K71)/50)*((Calculator!AU82-Calculator!AW$4)*10000)+Volatilities_Resets!$K71)),IF(AU82&gt;=AW$3,IF(AU82&lt;AX$3,(((Volatilities_Resets!$K71-Volatilities_Resets!$I71)/50)*((Calculator!AU82-Calculator!AW$3)*10000)+Volatilities_Resets!$I71)),IF(AU82&gt;=AW$2,IF(AU82&lt;AX$2,(((Volatilities_Resets!$I71-Volatilities_Resets!$G71)/50)*((Calculator!AU82-Calculator!AW$2)*10000)+Volatilities_Resets!$G71)),"Well, something broke...")))))))))))/10000</f>
        <v>1.2484E-2</v>
      </c>
      <c r="AX82" s="63">
        <f t="shared" ca="1" si="83"/>
        <v>13126.620474570671</v>
      </c>
      <c r="AY82" s="63">
        <f t="shared" ca="1" si="84"/>
        <v>5.3149473453023913E-4</v>
      </c>
      <c r="AZ82" s="63">
        <f t="shared" ref="AZ82:AZ98" ca="1" si="98">AZ81+AX82</f>
        <v>939792.28350337327</v>
      </c>
      <c r="BC82" s="63">
        <f t="shared" ca="1" si="63"/>
        <v>133.70545355969469</v>
      </c>
      <c r="BD82" s="63">
        <f ca="1">SUM($BC$15:BC82)</f>
        <v>6823.7948978842378</v>
      </c>
      <c r="BF82" s="52">
        <f ca="1">EXP(-AVERAGE(AV$15:AV82)*AS82)</f>
        <v>0.83177113337673547</v>
      </c>
      <c r="BH82" s="52">
        <f t="shared" ca="1" si="85"/>
        <v>68</v>
      </c>
      <c r="BI82" s="71">
        <f t="shared" ca="1" si="86"/>
        <v>47049</v>
      </c>
      <c r="BJ82" s="71">
        <f t="shared" ca="1" si="64"/>
        <v>47080</v>
      </c>
      <c r="BK82" s="72">
        <f t="shared" ca="1" si="65"/>
        <v>31</v>
      </c>
      <c r="BL82" s="73">
        <f ca="1">SUM(BK$15:BK82)/360</f>
        <v>5.7555555555555555</v>
      </c>
      <c r="BM82" s="74">
        <f t="shared" si="66"/>
        <v>25000000</v>
      </c>
      <c r="BN82" s="59">
        <f t="shared" si="87"/>
        <v>0.05</v>
      </c>
      <c r="BO82" s="57">
        <f>Volatilities_Resets!$E71*0.01</f>
        <v>2.9238699999999999E-2</v>
      </c>
      <c r="BP82" s="61">
        <f>IF(BN82=BQ$11,Volatilities_Resets!$AA71,IF(BN82&gt;=BP$11,IF(BN82&lt;BQ$11,(((Volatilities_Resets!$AA71-Volatilities_Resets!$Y71)/50)*((Calculator!BN82-Calculator!BP$11)*10000)+Volatilities_Resets!$Y71)),IF(BN82&gt;=BP$10,IF(BN82&lt;BQ$10,(((Volatilities_Resets!$Y71-Volatilities_Resets!$W71)/50)*((Calculator!BN82-Calculator!BP$10)*10000)+Volatilities_Resets!$W71)),IF(BN82&gt;=BP$9,IF(BN82&lt;BQ$9,(((Volatilities_Resets!$W71-Volatilities_Resets!$U71)/50)*((Calculator!BN82-Calculator!BP$9)*10000)+Volatilities_Resets!$U71)),IF(BN82&gt;=BP$8,IF(BN82&lt;BQ$8,(((Volatilities_Resets!$U71-Volatilities_Resets!$S71)/50)*((Calculator!BN82-Calculator!BP$8)*10000)+Volatilities_Resets!$S71)),IF(BN82&gt;=BP$7,IF(BN82&lt;BQ$7,(((Volatilities_Resets!$S71-Volatilities_Resets!$Q71)/50)*((Calculator!BN82-Calculator!BP$7)*10000)+Volatilities_Resets!$Q71)),IF(BN82&gt;=BP$6,IF(BN82&lt;BQ$6,(((Volatilities_Resets!$Q71-Volatilities_Resets!$O71)/50)*((Calculator!BN82-Calculator!BP$6)*10000)+Volatilities_Resets!$O71)),IF(BN82&gt;=BP$5,IF(BN82&lt;BQ$5,(((Volatilities_Resets!$O71-Volatilities_Resets!$M71)/50)*((Calculator!BN82-Calculator!BP$5)*10000)+Volatilities_Resets!$M71)),IF(BN82&gt;=BP$4,IF(BN82&lt;BQ$4,(((Volatilities_Resets!$M71-Volatilities_Resets!$K71)/50)*((Calculator!BN82-Calculator!BP$4)*10000)+Volatilities_Resets!$K71)),IF(BN82&gt;=BP$3,IF(BN82&lt;BQ$3,(((Volatilities_Resets!$K71-Volatilities_Resets!$I71)/50)*((Calculator!BN82-Calculator!BP$3)*10000)+Volatilities_Resets!$I71)),IF(BN82&gt;=BP$2,IF(BN82&lt;BQ$2,(((Volatilities_Resets!$I71-Volatilities_Resets!$G71)/50)*((Calculator!BN82-Calculator!BP$2)*10000)+Volatilities_Resets!$G71)),"Well, something broke...")))))))))))/10000</f>
        <v>1.3491999999999999E-2</v>
      </c>
      <c r="BQ82" s="63">
        <f t="shared" ca="1" si="88"/>
        <v>9134.3634246487891</v>
      </c>
      <c r="BR82" s="63">
        <f t="shared" ca="1" si="89"/>
        <v>3.7096359705500985E-4</v>
      </c>
      <c r="BS82" s="63">
        <f t="shared" ref="BS82:BS98" ca="1" si="99">BS81+BQ82</f>
        <v>531017.96479098056</v>
      </c>
      <c r="BV82" s="63">
        <f t="shared" ca="1" si="90"/>
        <v>116.22047070378207</v>
      </c>
      <c r="BW82" s="63">
        <f ca="1">SUM($BV$15:BV82)</f>
        <v>5858.7531998190843</v>
      </c>
      <c r="BY82" s="52">
        <f ca="1">EXP(-AVERAGE(BO$15:BO82)*BL82)</f>
        <v>0.83177113337673547</v>
      </c>
      <c r="CA82" s="52">
        <f t="shared" ca="1" si="91"/>
        <v>68</v>
      </c>
      <c r="CB82" s="71">
        <f t="shared" ca="1" si="92"/>
        <v>47049</v>
      </c>
      <c r="CC82" s="71">
        <f t="shared" ca="1" si="67"/>
        <v>47080</v>
      </c>
      <c r="CD82" s="72">
        <f t="shared" ca="1" si="68"/>
        <v>31</v>
      </c>
      <c r="CE82" s="73">
        <f ca="1">SUM(CD$15:CD82)/360</f>
        <v>5.7555555555555555</v>
      </c>
      <c r="CF82" s="74">
        <f t="shared" si="69"/>
        <v>25000000</v>
      </c>
      <c r="CG82" s="59">
        <f t="shared" si="93"/>
        <v>0.06</v>
      </c>
      <c r="CH82" s="57">
        <f>Volatilities_Resets!$E71*0.01</f>
        <v>2.9238699999999999E-2</v>
      </c>
      <c r="CI82" s="61">
        <f>IF(CG82=CJ$11,Volatilities_Resets!$AA71,IF(CG82&gt;=CI$11,IF(CG82&lt;CJ$11,(((Volatilities_Resets!$AA71-Volatilities_Resets!$Y71)/50)*((Calculator!CG82-Calculator!CI$11)*10000)+Volatilities_Resets!$Y71)),IF(CG82&gt;=CI$10,IF(CG82&lt;CJ$10,(((Volatilities_Resets!$Y71-Volatilities_Resets!$W71)/50)*((Calculator!CG82-Calculator!CI$10)*10000)+Volatilities_Resets!$W71)),IF(CG82&gt;=CI$9,IF(CG82&lt;CJ$9,(((Volatilities_Resets!$W71-Volatilities_Resets!$U71)/50)*((Calculator!CG82-Calculator!CI$9)*10000)+Volatilities_Resets!$U71)),IF(CG82&gt;=CI$8,IF(CG82&lt;CJ$8,(((Volatilities_Resets!$U71-Volatilities_Resets!$S71)/50)*((Calculator!CG82-Calculator!CI$8)*10000)+Volatilities_Resets!$S71)),IF(CG82&gt;=CI$7,IF(CG82&lt;CJ$7,(((Volatilities_Resets!$S71-Volatilities_Resets!$Q71)/50)*((Calculator!CG82-Calculator!CI$7)*10000)+Volatilities_Resets!$Q71)),IF(CG82&gt;=CI$6,IF(CG82&lt;CJ$6,(((Volatilities_Resets!$Q71-Volatilities_Resets!$O71)/50)*((Calculator!CG82-Calculator!CI$6)*10000)+Volatilities_Resets!$O71)),IF(CG82&gt;=CI$5,IF(CG82&lt;CJ$5,(((Volatilities_Resets!$O71-Volatilities_Resets!$M71)/50)*((Calculator!CG82-Calculator!CI$5)*10000)+Volatilities_Resets!$M71)),IF(CG82&gt;=CI$4,IF(CG82&lt;CJ$4,(((Volatilities_Resets!$M71-Volatilities_Resets!$K71)/50)*((Calculator!CG82-Calculator!CI$4)*10000)+Volatilities_Resets!$K71)),IF(CG82&gt;=CI$3,IF(CG82&lt;CJ$3,(((Volatilities_Resets!$K71-Volatilities_Resets!$I71)/50)*((Calculator!CG82-Calculator!CI$3)*10000)+Volatilities_Resets!$I71)),IF(CG82&gt;=CI$2,IF(CG82&lt;CJ$2,(((Volatilities_Resets!$I71-Volatilities_Resets!$G71)/50)*((Calculator!CG82-Calculator!CI$2)*10000)+Volatilities_Resets!$G71)),"Well, something broke...")))))))))))/10000</f>
        <v>1.4771000000000001E-2</v>
      </c>
      <c r="CJ82" s="63">
        <f t="shared" ca="1" si="94"/>
        <v>6754.4180232545859</v>
      </c>
      <c r="CK82" s="63">
        <f t="shared" ca="1" si="95"/>
        <v>2.7489180969921033E-4</v>
      </c>
      <c r="CL82" s="63">
        <f t="shared" ref="CL82:CL98" ca="1" si="100">CL81+CJ82</f>
        <v>318212.13838091004</v>
      </c>
      <c r="CO82" s="63">
        <f t="shared" ca="1" si="96"/>
        <v>98.046868234635042</v>
      </c>
      <c r="CP82" s="63">
        <f ca="1">SUM($CO$15:CO82)</f>
        <v>4557.0817257139497</v>
      </c>
      <c r="CR82" s="52">
        <f ca="1">EXP(-AVERAGE(CH$15:CH82)*CE82)</f>
        <v>0.83177113337673547</v>
      </c>
      <c r="CT82"/>
      <c r="CU82"/>
      <c r="CV82"/>
      <c r="CW82"/>
      <c r="CX82"/>
      <c r="CY82"/>
      <c r="CZ82"/>
      <c r="DA82"/>
      <c r="DB82"/>
      <c r="DC82"/>
      <c r="DD82"/>
      <c r="DE82"/>
      <c r="DF82"/>
      <c r="DG82"/>
      <c r="DH82"/>
      <c r="DI82"/>
      <c r="DJ82"/>
      <c r="DK82"/>
      <c r="DL82"/>
    </row>
    <row r="83" spans="2:116" ht="15.75" customHeight="1">
      <c r="B83" s="52">
        <v>6</v>
      </c>
      <c r="C83" s="52">
        <f t="shared" ca="1" si="52"/>
        <v>69</v>
      </c>
      <c r="D83" s="71">
        <f t="shared" ca="1" si="70"/>
        <v>47080</v>
      </c>
      <c r="E83" s="71">
        <f t="shared" ca="1" si="53"/>
        <v>47110</v>
      </c>
      <c r="F83" s="72">
        <f t="shared" ca="1" si="54"/>
        <v>30</v>
      </c>
      <c r="G83" s="73">
        <f ca="1">SUM($F$15:F83)/360</f>
        <v>5.8388888888888886</v>
      </c>
      <c r="H83" s="74">
        <f t="shared" si="56"/>
        <v>25000000</v>
      </c>
      <c r="I83" s="59">
        <f>IF('Cap Pricer'!$E$22=DataValidation!$C$2,'Cap Pricer'!$E$23,IF('Cap Pricer'!$E$22=DataValidation!$C$3,VLOOKUP($B83,'Cap Pricer'!$C$25:$E$31,3),""))</f>
        <v>0.02</v>
      </c>
      <c r="J83" s="57">
        <f>Volatilities_Resets!$E72*0.01</f>
        <v>2.92351E-2</v>
      </c>
      <c r="K83" s="61">
        <f>IF(I83=L$11,Volatilities_Resets!$AA72,IF(I83&gt;=K$11,IF(I83&lt;L$11,(((Volatilities_Resets!$AA72-Volatilities_Resets!$Y72)/50)*((Calculator!I83-Calculator!K$11)*10000)+Volatilities_Resets!$Y72)),IF(I83&gt;=K$10,IF(I83&lt;L$10,(((Volatilities_Resets!$Y72-Volatilities_Resets!$W72)/50)*((Calculator!I83-Calculator!K$10)*10000)+Volatilities_Resets!$W72)),IF(I83&gt;=K$9,IF(I83&lt;L$9,(((Volatilities_Resets!$W72-Volatilities_Resets!$U72)/50)*((Calculator!I83-Calculator!K$9)*10000)+Volatilities_Resets!$U72)),IF(I83&gt;=K$8,IF(I83&lt;L$8,(((Volatilities_Resets!$U72-Volatilities_Resets!$S72)/50)*((Calculator!I83-Calculator!K$8)*10000)+Volatilities_Resets!$S72)),IF(I83&gt;=K$7,IF(I83&lt;L$7,(((Volatilities_Resets!$S72-Volatilities_Resets!$Q72)/50)*((Calculator!I83-Calculator!K$7)*10000)+Volatilities_Resets!$Q72)),IF(I83&gt;=K$6,IF(I83&lt;L$6,(((Volatilities_Resets!$Q72-Volatilities_Resets!$O72)/50)*((Calculator!I83-Calculator!K$6)*10000)+Volatilities_Resets!$O72)),IF(I83&gt;=K$5,IF(I83&lt;L$5,(((Volatilities_Resets!$O72-Volatilities_Resets!$M72)/50)*((Calculator!I83-Calculator!K$5)*10000)+Volatilities_Resets!$M72)),IF(I83&gt;=K$4,IF(I83&lt;L$4,(((Volatilities_Resets!$M72-Volatilities_Resets!$K72)/50)*((Calculator!I83-Calculator!K$4)*10000)+Volatilities_Resets!$K72)),IF(I83&gt;=K$3,IF(I83&lt;L$3,(((Volatilities_Resets!$K72-Volatilities_Resets!$I72)/50)*((Calculator!I83-Calculator!K$3)*10000)+Volatilities_Resets!$I72)),IF(I83&gt;=K$2,IF(I83&lt;L$2,(((Volatilities_Resets!$I72-Volatilities_Resets!$G72)/50)*((Calculator!I83-Calculator!K$2)*10000)+Volatilities_Resets!$G72)),"Well, something broke...")))))))))))/10000</f>
        <v>1.1936E-2</v>
      </c>
      <c r="L83" s="47">
        <f t="shared" ca="1" si="71"/>
        <v>28883.366334225575</v>
      </c>
      <c r="M83" s="63">
        <f t="shared" ca="1" si="72"/>
        <v>1.1616698914803155E-3</v>
      </c>
      <c r="N83" s="63">
        <f t="shared" ca="1" si="55"/>
        <v>2355612.2822491336</v>
      </c>
      <c r="Q83" s="63">
        <f t="shared" ca="1" si="73"/>
        <v>131.41661927272389</v>
      </c>
      <c r="R83" s="63">
        <f ca="1">SUM($Q$15:Q83)</f>
        <v>6759.6544870704111</v>
      </c>
      <c r="T83" s="52">
        <f ca="1">EXP(-AVERAGE(J$15:J83)*G83)</f>
        <v>0.82975014964930738</v>
      </c>
      <c r="U83" s="57"/>
      <c r="V83" s="52">
        <f t="shared" ca="1" si="74"/>
        <v>69</v>
      </c>
      <c r="W83" s="71">
        <f t="shared" ca="1" si="75"/>
        <v>47080</v>
      </c>
      <c r="X83" s="71">
        <f t="shared" ca="1" si="57"/>
        <v>47110</v>
      </c>
      <c r="Y83" s="72">
        <f t="shared" ca="1" si="58"/>
        <v>30</v>
      </c>
      <c r="Z83" s="73">
        <f ca="1">SUM(Y$15:Y83)/360</f>
        <v>5.8388888888888886</v>
      </c>
      <c r="AA83" s="74">
        <f t="shared" si="59"/>
        <v>25000000</v>
      </c>
      <c r="AB83" s="59">
        <f t="shared" si="76"/>
        <v>0.03</v>
      </c>
      <c r="AC83" s="57">
        <f>Volatilities_Resets!$E72*0.01</f>
        <v>2.92351E-2</v>
      </c>
      <c r="AD83" s="61">
        <f>IF(AB83=AE$11,Volatilities_Resets!$AA72,IF(AB83&gt;=AD$11,IF(AB83&lt;AE$11,(((Volatilities_Resets!$AA72-Volatilities_Resets!$Y72)/50)*((Calculator!AB83-Calculator!AD$11)*10000)+Volatilities_Resets!$Y72)),IF(AB83&gt;=AD$10,IF(AB83&lt;AE$10,(((Volatilities_Resets!$Y72-Volatilities_Resets!$W72)/50)*((Calculator!AB83-Calculator!AD$10)*10000)+Volatilities_Resets!$W72)),IF(AB83&gt;=AD$9,IF(AB83&lt;AE$9,(((Volatilities_Resets!$W72-Volatilities_Resets!$U72)/50)*((Calculator!AB83-Calculator!AD$9)*10000)+Volatilities_Resets!$U72)),IF(AB83&gt;=AD$8,IF(AB83&lt;AE$8,(((Volatilities_Resets!$U72-Volatilities_Resets!$S72)/50)*((Calculator!AB83-Calculator!AD$8)*10000)+Volatilities_Resets!$S72)),IF(AB83&gt;=AD$7,IF(AB83&lt;AE$7,(((Volatilities_Resets!$S72-Volatilities_Resets!$Q72)/50)*((Calculator!AB83-Calculator!AD$7)*10000)+Volatilities_Resets!$Q72)),IF(AB83&gt;=AD$6,IF(AB83&lt;AE$6,(((Volatilities_Resets!$Q72-Volatilities_Resets!$O72)/50)*((Calculator!AB83-Calculator!AD$6)*10000)+Volatilities_Resets!$O72)),IF(AB83&gt;=AD$5,IF(AB83&lt;AE$5,(((Volatilities_Resets!$O72-Volatilities_Resets!$M72)/50)*((Calculator!AB83-Calculator!AD$5)*10000)+Volatilities_Resets!$M72)),IF(AB83&gt;=AD$4,IF(AB83&lt;AE$4,(((Volatilities_Resets!$M72-Volatilities_Resets!$K72)/50)*((Calculator!AB83-Calculator!AD$4)*10000)+Volatilities_Resets!$K72)),IF(AB83&gt;=AD$3,IF(AB83&lt;AE$3,(((Volatilities_Resets!$K72-Volatilities_Resets!$I72)/50)*((Calculator!AB83-Calculator!AD$3)*10000)+Volatilities_Resets!$I72)),IF(AB83&gt;=AD$2,IF(AB83&lt;AE$2,(((Volatilities_Resets!$I72-Volatilities_Resets!$G72)/50)*((Calculator!AB83-Calculator!AD$2)*10000)+Volatilities_Resets!$G72)),"Well, something broke...")))))))))))/10000</f>
        <v>1.1934999999999999E-2</v>
      </c>
      <c r="AE83" s="63">
        <f t="shared" ca="1" si="77"/>
        <v>19234.450537866669</v>
      </c>
      <c r="AF83" s="63">
        <f t="shared" ca="1" si="78"/>
        <v>7.760413278736076E-4</v>
      </c>
      <c r="AG83" s="63">
        <f t="shared" ca="1" si="97"/>
        <v>1552877.4504542358</v>
      </c>
      <c r="AJ83" s="63">
        <f t="shared" ca="1" si="79"/>
        <v>138.22198621225959</v>
      </c>
      <c r="AK83" s="63">
        <f ca="1">SUM($AJ$15:AJ83)</f>
        <v>7288.6084667718678</v>
      </c>
      <c r="AM83" s="52">
        <f ca="1">EXP(-AVERAGE(AC$15:AC83)*Z83)</f>
        <v>0.82975014964930738</v>
      </c>
      <c r="AO83" s="52">
        <f t="shared" ca="1" si="80"/>
        <v>69</v>
      </c>
      <c r="AP83" s="71">
        <f t="shared" ca="1" si="81"/>
        <v>47080</v>
      </c>
      <c r="AQ83" s="71">
        <f t="shared" ca="1" si="60"/>
        <v>47110</v>
      </c>
      <c r="AR83" s="72">
        <f t="shared" ca="1" si="61"/>
        <v>30</v>
      </c>
      <c r="AS83" s="73">
        <f ca="1">SUM(AR$15:AR83)/360</f>
        <v>5.8388888888888886</v>
      </c>
      <c r="AT83" s="74">
        <f t="shared" si="62"/>
        <v>25000000</v>
      </c>
      <c r="AU83" s="59">
        <f t="shared" si="82"/>
        <v>0.04</v>
      </c>
      <c r="AV83" s="57">
        <f>Volatilities_Resets!$E72*0.01</f>
        <v>2.92351E-2</v>
      </c>
      <c r="AW83" s="61">
        <f>IF(AU83=AX$11,Volatilities_Resets!$AA72,IF(AU83&gt;=AW$11,IF(AU83&lt;AX$11,(((Volatilities_Resets!$AA72-Volatilities_Resets!$Y72)/50)*((Calculator!AU83-Calculator!AW$11)*10000)+Volatilities_Resets!$Y72)),IF(AU83&gt;=AW$10,IF(AU83&lt;AX$10,(((Volatilities_Resets!$Y72-Volatilities_Resets!$W72)/50)*((Calculator!AU83-Calculator!AW$10)*10000)+Volatilities_Resets!$W72)),IF(AU83&gt;=AW$9,IF(AU83&lt;AX$9,(((Volatilities_Resets!$W72-Volatilities_Resets!$U72)/50)*((Calculator!AU83-Calculator!AW$9)*10000)+Volatilities_Resets!$U72)),IF(AU83&gt;=AW$8,IF(AU83&lt;AX$8,(((Volatilities_Resets!$U72-Volatilities_Resets!$S72)/50)*((Calculator!AU83-Calculator!AW$8)*10000)+Volatilities_Resets!$S72)),IF(AU83&gt;=AW$7,IF(AU83&lt;AX$7,(((Volatilities_Resets!$S72-Volatilities_Resets!$Q72)/50)*((Calculator!AU83-Calculator!AW$7)*10000)+Volatilities_Resets!$Q72)),IF(AU83&gt;=AW$6,IF(AU83&lt;AX$6,(((Volatilities_Resets!$Q72-Volatilities_Resets!$O72)/50)*((Calculator!AU83-Calculator!AW$6)*10000)+Volatilities_Resets!$O72)),IF(AU83&gt;=AW$5,IF(AU83&lt;AX$5,(((Volatilities_Resets!$O72-Volatilities_Resets!$M72)/50)*((Calculator!AU83-Calculator!AW$5)*10000)+Volatilities_Resets!$M72)),IF(AU83&gt;=AW$4,IF(AU83&lt;AX$4,(((Volatilities_Resets!$M72-Volatilities_Resets!$K72)/50)*((Calculator!AU83-Calculator!AW$4)*10000)+Volatilities_Resets!$K72)),IF(AU83&gt;=AW$3,IF(AU83&lt;AX$3,(((Volatilities_Resets!$K72-Volatilities_Resets!$I72)/50)*((Calculator!AU83-Calculator!AW$3)*10000)+Volatilities_Resets!$I72)),IF(AU83&gt;=AW$2,IF(AU83&lt;AX$2,(((Volatilities_Resets!$I72-Volatilities_Resets!$G72)/50)*((Calculator!AU83-Calculator!AW$2)*10000)+Volatilities_Resets!$G72)),"Well, something broke...")))))))))))/10000</f>
        <v>1.2484E-2</v>
      </c>
      <c r="AX83" s="63">
        <f t="shared" ca="1" si="83"/>
        <v>12809.810670249921</v>
      </c>
      <c r="AY83" s="63">
        <f t="shared" ca="1" si="84"/>
        <v>5.1865003530863726E-4</v>
      </c>
      <c r="AZ83" s="63">
        <f t="shared" ca="1" si="98"/>
        <v>952602.09417362325</v>
      </c>
      <c r="BC83" s="63">
        <f t="shared" ca="1" si="63"/>
        <v>129.80628970484199</v>
      </c>
      <c r="BD83" s="63">
        <f ca="1">SUM($BC$15:BC83)</f>
        <v>6953.6011875890799</v>
      </c>
      <c r="BF83" s="52">
        <f ca="1">EXP(-AVERAGE(AV$15:AV83)*AS83)</f>
        <v>0.82975014964930738</v>
      </c>
      <c r="BH83" s="52">
        <f t="shared" ca="1" si="85"/>
        <v>69</v>
      </c>
      <c r="BI83" s="71">
        <f t="shared" ca="1" si="86"/>
        <v>47080</v>
      </c>
      <c r="BJ83" s="71">
        <f t="shared" ca="1" si="64"/>
        <v>47110</v>
      </c>
      <c r="BK83" s="72">
        <f t="shared" ca="1" si="65"/>
        <v>30</v>
      </c>
      <c r="BL83" s="73">
        <f ca="1">SUM(BK$15:BK83)/360</f>
        <v>5.8388888888888886</v>
      </c>
      <c r="BM83" s="74">
        <f t="shared" si="66"/>
        <v>25000000</v>
      </c>
      <c r="BN83" s="59">
        <f t="shared" si="87"/>
        <v>0.05</v>
      </c>
      <c r="BO83" s="57">
        <f>Volatilities_Resets!$E72*0.01</f>
        <v>2.92351E-2</v>
      </c>
      <c r="BP83" s="61">
        <f>IF(BN83=BQ$11,Volatilities_Resets!$AA72,IF(BN83&gt;=BP$11,IF(BN83&lt;BQ$11,(((Volatilities_Resets!$AA72-Volatilities_Resets!$Y72)/50)*((Calculator!BN83-Calculator!BP$11)*10000)+Volatilities_Resets!$Y72)),IF(BN83&gt;=BP$10,IF(BN83&lt;BQ$10,(((Volatilities_Resets!$Y72-Volatilities_Resets!$W72)/50)*((Calculator!BN83-Calculator!BP$10)*10000)+Volatilities_Resets!$W72)),IF(BN83&gt;=BP$9,IF(BN83&lt;BQ$9,(((Volatilities_Resets!$W72-Volatilities_Resets!$U72)/50)*((Calculator!BN83-Calculator!BP$9)*10000)+Volatilities_Resets!$U72)),IF(BN83&gt;=BP$8,IF(BN83&lt;BQ$8,(((Volatilities_Resets!$U72-Volatilities_Resets!$S72)/50)*((Calculator!BN83-Calculator!BP$8)*10000)+Volatilities_Resets!$S72)),IF(BN83&gt;=BP$7,IF(BN83&lt;BQ$7,(((Volatilities_Resets!$S72-Volatilities_Resets!$Q72)/50)*((Calculator!BN83-Calculator!BP$7)*10000)+Volatilities_Resets!$Q72)),IF(BN83&gt;=BP$6,IF(BN83&lt;BQ$6,(((Volatilities_Resets!$Q72-Volatilities_Resets!$O72)/50)*((Calculator!BN83-Calculator!BP$6)*10000)+Volatilities_Resets!$O72)),IF(BN83&gt;=BP$5,IF(BN83&lt;BQ$5,(((Volatilities_Resets!$O72-Volatilities_Resets!$M72)/50)*((Calculator!BN83-Calculator!BP$5)*10000)+Volatilities_Resets!$M72)),IF(BN83&gt;=BP$4,IF(BN83&lt;BQ$4,(((Volatilities_Resets!$M72-Volatilities_Resets!$K72)/50)*((Calculator!BN83-Calculator!BP$4)*10000)+Volatilities_Resets!$K72)),IF(BN83&gt;=BP$3,IF(BN83&lt;BQ$3,(((Volatilities_Resets!$K72-Volatilities_Resets!$I72)/50)*((Calculator!BN83-Calculator!BP$3)*10000)+Volatilities_Resets!$I72)),IF(BN83&gt;=BP$2,IF(BN83&lt;BQ$2,(((Volatilities_Resets!$I72-Volatilities_Resets!$G72)/50)*((Calculator!BN83-Calculator!BP$2)*10000)+Volatilities_Resets!$G72)),"Well, something broke...")))))))))))/10000</f>
        <v>1.3491999999999999E-2</v>
      </c>
      <c r="BQ83" s="63">
        <f t="shared" ca="1" si="88"/>
        <v>8947.8712632914721</v>
      </c>
      <c r="BR83" s="63">
        <f t="shared" ca="1" si="89"/>
        <v>3.6336487706813744E-4</v>
      </c>
      <c r="BS83" s="63">
        <f t="shared" ca="1" si="99"/>
        <v>539965.83605427202</v>
      </c>
      <c r="BV83" s="63">
        <f t="shared" ca="1" si="90"/>
        <v>113.0540083558938</v>
      </c>
      <c r="BW83" s="63">
        <f ca="1">SUM($BV$15:BV83)</f>
        <v>5971.8072081749779</v>
      </c>
      <c r="BY83" s="52">
        <f ca="1">EXP(-AVERAGE(BO$15:BO83)*BL83)</f>
        <v>0.82975014964930738</v>
      </c>
      <c r="CA83" s="52">
        <f t="shared" ca="1" si="91"/>
        <v>69</v>
      </c>
      <c r="CB83" s="71">
        <f t="shared" ca="1" si="92"/>
        <v>47080</v>
      </c>
      <c r="CC83" s="71">
        <f t="shared" ca="1" si="67"/>
        <v>47110</v>
      </c>
      <c r="CD83" s="72">
        <f t="shared" ca="1" si="68"/>
        <v>30</v>
      </c>
      <c r="CE83" s="73">
        <f ca="1">SUM(CD$15:CD83)/360</f>
        <v>5.8388888888888886</v>
      </c>
      <c r="CF83" s="74">
        <f t="shared" si="69"/>
        <v>25000000</v>
      </c>
      <c r="CG83" s="59">
        <f t="shared" si="93"/>
        <v>0.06</v>
      </c>
      <c r="CH83" s="57">
        <f>Volatilities_Resets!$E72*0.01</f>
        <v>2.92351E-2</v>
      </c>
      <c r="CI83" s="61">
        <f>IF(CG83=CJ$11,Volatilities_Resets!$AA72,IF(CG83&gt;=CI$11,IF(CG83&lt;CJ$11,(((Volatilities_Resets!$AA72-Volatilities_Resets!$Y72)/50)*((Calculator!CG83-Calculator!CI$11)*10000)+Volatilities_Resets!$Y72)),IF(CG83&gt;=CI$10,IF(CG83&lt;CJ$10,(((Volatilities_Resets!$Y72-Volatilities_Resets!$W72)/50)*((Calculator!CG83-Calculator!CI$10)*10000)+Volatilities_Resets!$W72)),IF(CG83&gt;=CI$9,IF(CG83&lt;CJ$9,(((Volatilities_Resets!$W72-Volatilities_Resets!$U72)/50)*((Calculator!CG83-Calculator!CI$9)*10000)+Volatilities_Resets!$U72)),IF(CG83&gt;=CI$8,IF(CG83&lt;CJ$8,(((Volatilities_Resets!$U72-Volatilities_Resets!$S72)/50)*((Calculator!CG83-Calculator!CI$8)*10000)+Volatilities_Resets!$S72)),IF(CG83&gt;=CI$7,IF(CG83&lt;CJ$7,(((Volatilities_Resets!$S72-Volatilities_Resets!$Q72)/50)*((Calculator!CG83-Calculator!CI$7)*10000)+Volatilities_Resets!$Q72)),IF(CG83&gt;=CI$6,IF(CG83&lt;CJ$6,(((Volatilities_Resets!$Q72-Volatilities_Resets!$O72)/50)*((Calculator!CG83-Calculator!CI$6)*10000)+Volatilities_Resets!$O72)),IF(CG83&gt;=CI$5,IF(CG83&lt;CJ$5,(((Volatilities_Resets!$O72-Volatilities_Resets!$M72)/50)*((Calculator!CG83-Calculator!CI$5)*10000)+Volatilities_Resets!$M72)),IF(CG83&gt;=CI$4,IF(CG83&lt;CJ$4,(((Volatilities_Resets!$M72-Volatilities_Resets!$K72)/50)*((Calculator!CG83-Calculator!CI$4)*10000)+Volatilities_Resets!$K72)),IF(CG83&gt;=CI$3,IF(CG83&lt;CJ$3,(((Volatilities_Resets!$K72-Volatilities_Resets!$I72)/50)*((Calculator!CG83-Calculator!CI$3)*10000)+Volatilities_Resets!$I72)),IF(CG83&gt;=CI$2,IF(CG83&lt;CJ$2,(((Volatilities_Resets!$I72-Volatilities_Resets!$G72)/50)*((Calculator!CG83-Calculator!CI$2)*10000)+Volatilities_Resets!$G72)),"Well, something broke...")))))))))))/10000</f>
        <v>1.4769999999999998E-2</v>
      </c>
      <c r="CJ83" s="63">
        <f t="shared" ca="1" si="94"/>
        <v>6639.5623302745234</v>
      </c>
      <c r="CK83" s="63">
        <f t="shared" ca="1" si="95"/>
        <v>2.7019115544298501E-4</v>
      </c>
      <c r="CL83" s="63">
        <f t="shared" ca="1" si="100"/>
        <v>324851.70071118459</v>
      </c>
      <c r="CO83" s="63">
        <f t="shared" ca="1" si="96"/>
        <v>95.60095441721208</v>
      </c>
      <c r="CP83" s="63">
        <f ca="1">SUM($CO$15:CO83)</f>
        <v>4652.6826801311618</v>
      </c>
      <c r="CR83" s="52">
        <f ca="1">EXP(-AVERAGE(CH$15:CH83)*CE83)</f>
        <v>0.82975014964930738</v>
      </c>
      <c r="CT83"/>
      <c r="CU83"/>
      <c r="CV83"/>
      <c r="CW83"/>
      <c r="CX83"/>
      <c r="CY83"/>
      <c r="CZ83"/>
      <c r="DA83"/>
      <c r="DB83"/>
      <c r="DC83"/>
      <c r="DD83"/>
      <c r="DE83"/>
      <c r="DF83"/>
      <c r="DG83"/>
      <c r="DH83"/>
      <c r="DI83"/>
      <c r="DJ83"/>
      <c r="DK83"/>
      <c r="DL83"/>
    </row>
    <row r="84" spans="2:116" ht="15.75" customHeight="1">
      <c r="B84" s="52">
        <v>6</v>
      </c>
      <c r="C84" s="52">
        <f t="shared" ca="1" si="52"/>
        <v>70</v>
      </c>
      <c r="D84" s="71">
        <f t="shared" ca="1" si="70"/>
        <v>47110</v>
      </c>
      <c r="E84" s="71">
        <f t="shared" ca="1" si="53"/>
        <v>47141</v>
      </c>
      <c r="F84" s="72">
        <f t="shared" ca="1" si="54"/>
        <v>31</v>
      </c>
      <c r="G84" s="73">
        <f ca="1">SUM($F$15:F84)/360</f>
        <v>5.9249999999999998</v>
      </c>
      <c r="H84" s="74">
        <f t="shared" si="56"/>
        <v>25000000</v>
      </c>
      <c r="I84" s="59">
        <f>IF('Cap Pricer'!$E$22=DataValidation!$C$2,'Cap Pricer'!$E$23,IF('Cap Pricer'!$E$22=DataValidation!$C$3,VLOOKUP($B84,'Cap Pricer'!$C$25:$E$31,3),""))</f>
        <v>0.02</v>
      </c>
      <c r="J84" s="57">
        <f>Volatilities_Resets!$E73*0.01</f>
        <v>2.92375E-2</v>
      </c>
      <c r="K84" s="61">
        <f>IF(I84=L$11,Volatilities_Resets!$AA73,IF(I84&gt;=K$11,IF(I84&lt;L$11,(((Volatilities_Resets!$AA73-Volatilities_Resets!$Y73)/50)*((Calculator!I84-Calculator!K$11)*10000)+Volatilities_Resets!$Y73)),IF(I84&gt;=K$10,IF(I84&lt;L$10,(((Volatilities_Resets!$Y73-Volatilities_Resets!$W73)/50)*((Calculator!I84-Calculator!K$10)*10000)+Volatilities_Resets!$W73)),IF(I84&gt;=K$9,IF(I84&lt;L$9,(((Volatilities_Resets!$W73-Volatilities_Resets!$U73)/50)*((Calculator!I84-Calculator!K$9)*10000)+Volatilities_Resets!$U73)),IF(I84&gt;=K$8,IF(I84&lt;L$8,(((Volatilities_Resets!$U73-Volatilities_Resets!$S73)/50)*((Calculator!I84-Calculator!K$8)*10000)+Volatilities_Resets!$S73)),IF(I84&gt;=K$7,IF(I84&lt;L$7,(((Volatilities_Resets!$S73-Volatilities_Resets!$Q73)/50)*((Calculator!I84-Calculator!K$7)*10000)+Volatilities_Resets!$Q73)),IF(I84&gt;=K$6,IF(I84&lt;L$6,(((Volatilities_Resets!$Q73-Volatilities_Resets!$O73)/50)*((Calculator!I84-Calculator!K$6)*10000)+Volatilities_Resets!$O73)),IF(I84&gt;=K$5,IF(I84&lt;L$5,(((Volatilities_Resets!$O73-Volatilities_Resets!$M73)/50)*((Calculator!I84-Calculator!K$5)*10000)+Volatilities_Resets!$M73)),IF(I84&gt;=K$4,IF(I84&lt;L$4,(((Volatilities_Resets!$M73-Volatilities_Resets!$K73)/50)*((Calculator!I84-Calculator!K$4)*10000)+Volatilities_Resets!$K73)),IF(I84&gt;=K$3,IF(I84&lt;L$3,(((Volatilities_Resets!$K73-Volatilities_Resets!$I73)/50)*((Calculator!I84-Calculator!K$3)*10000)+Volatilities_Resets!$I73)),IF(I84&gt;=K$2,IF(I84&lt;L$2,(((Volatilities_Resets!$I73-Volatilities_Resets!$G73)/50)*((Calculator!I84-Calculator!K$2)*10000)+Volatilities_Resets!$G73)),"Well, something broke...")))))))))))/10000</f>
        <v>1.1936E-2</v>
      </c>
      <c r="L84" s="47">
        <f t="shared" ca="1" si="71"/>
        <v>29916.799061379497</v>
      </c>
      <c r="M84" s="63">
        <f t="shared" ca="1" si="72"/>
        <v>1.2032545534176656E-3</v>
      </c>
      <c r="N84" s="63">
        <f t="shared" ca="1" si="55"/>
        <v>2385529.081310513</v>
      </c>
      <c r="Q84" s="63">
        <f t="shared" ca="1" si="73"/>
        <v>136.20375077528635</v>
      </c>
      <c r="R84" s="63">
        <f ca="1">SUM($Q$15:Q84)</f>
        <v>6895.8582378456977</v>
      </c>
      <c r="T84" s="52">
        <f ca="1">EXP(-AVERAGE(J$15:J84)*G84)</f>
        <v>0.82766042460491884</v>
      </c>
      <c r="U84" s="57"/>
      <c r="V84" s="52">
        <f t="shared" ca="1" si="74"/>
        <v>70</v>
      </c>
      <c r="W84" s="71">
        <f t="shared" ca="1" si="75"/>
        <v>47110</v>
      </c>
      <c r="X84" s="71">
        <f t="shared" ca="1" si="57"/>
        <v>47141</v>
      </c>
      <c r="Y84" s="72">
        <f t="shared" ca="1" si="58"/>
        <v>31</v>
      </c>
      <c r="Z84" s="73">
        <f ca="1">SUM(Y$15:Y84)/360</f>
        <v>5.9249999999999998</v>
      </c>
      <c r="AA84" s="74">
        <f t="shared" si="59"/>
        <v>25000000</v>
      </c>
      <c r="AB84" s="59">
        <f t="shared" si="76"/>
        <v>0.03</v>
      </c>
      <c r="AC84" s="57">
        <f>Volatilities_Resets!$E73*0.01</f>
        <v>2.92375E-2</v>
      </c>
      <c r="AD84" s="61">
        <f>IF(AB84=AE$11,Volatilities_Resets!$AA73,IF(AB84&gt;=AD$11,IF(AB84&lt;AE$11,(((Volatilities_Resets!$AA73-Volatilities_Resets!$Y73)/50)*((Calculator!AB84-Calculator!AD$11)*10000)+Volatilities_Resets!$Y73)),IF(AB84&gt;=AD$10,IF(AB84&lt;AE$10,(((Volatilities_Resets!$Y73-Volatilities_Resets!$W73)/50)*((Calculator!AB84-Calculator!AD$10)*10000)+Volatilities_Resets!$W73)),IF(AB84&gt;=AD$9,IF(AB84&lt;AE$9,(((Volatilities_Resets!$W73-Volatilities_Resets!$U73)/50)*((Calculator!AB84-Calculator!AD$9)*10000)+Volatilities_Resets!$U73)),IF(AB84&gt;=AD$8,IF(AB84&lt;AE$8,(((Volatilities_Resets!$U73-Volatilities_Resets!$S73)/50)*((Calculator!AB84-Calculator!AD$8)*10000)+Volatilities_Resets!$S73)),IF(AB84&gt;=AD$7,IF(AB84&lt;AE$7,(((Volatilities_Resets!$S73-Volatilities_Resets!$Q73)/50)*((Calculator!AB84-Calculator!AD$7)*10000)+Volatilities_Resets!$Q73)),IF(AB84&gt;=AD$6,IF(AB84&lt;AE$6,(((Volatilities_Resets!$Q73-Volatilities_Resets!$O73)/50)*((Calculator!AB84-Calculator!AD$6)*10000)+Volatilities_Resets!$O73)),IF(AB84&gt;=AD$5,IF(AB84&lt;AE$5,(((Volatilities_Resets!$O73-Volatilities_Resets!$M73)/50)*((Calculator!AB84-Calculator!AD$5)*10000)+Volatilities_Resets!$M73)),IF(AB84&gt;=AD$4,IF(AB84&lt;AE$4,(((Volatilities_Resets!$M73-Volatilities_Resets!$K73)/50)*((Calculator!AB84-Calculator!AD$4)*10000)+Volatilities_Resets!$K73)),IF(AB84&gt;=AD$3,IF(AB84&lt;AE$3,(((Volatilities_Resets!$K73-Volatilities_Resets!$I73)/50)*((Calculator!AB84-Calculator!AD$3)*10000)+Volatilities_Resets!$I73)),IF(AB84&gt;=AD$2,IF(AB84&lt;AE$2,(((Volatilities_Resets!$I73-Volatilities_Resets!$G73)/50)*((Calculator!AB84-Calculator!AD$2)*10000)+Volatilities_Resets!$G73)),"Well, something broke...")))))))))))/10000</f>
        <v>1.1936E-2</v>
      </c>
      <c r="AE84" s="63">
        <f t="shared" ca="1" si="77"/>
        <v>19979.923151039842</v>
      </c>
      <c r="AF84" s="63">
        <f t="shared" ca="1" si="78"/>
        <v>8.0611551140921591E-4</v>
      </c>
      <c r="AG84" s="63">
        <f t="shared" ca="1" si="97"/>
        <v>1572857.3736052755</v>
      </c>
      <c r="AJ84" s="63">
        <f t="shared" ca="1" si="79"/>
        <v>143.15598257578873</v>
      </c>
      <c r="AK84" s="63">
        <f ca="1">SUM($AJ$15:AJ84)</f>
        <v>7431.7644493476564</v>
      </c>
      <c r="AM84" s="52">
        <f ca="1">EXP(-AVERAGE(AC$15:AC84)*Z84)</f>
        <v>0.82766042460491884</v>
      </c>
      <c r="AO84" s="52">
        <f t="shared" ca="1" si="80"/>
        <v>70</v>
      </c>
      <c r="AP84" s="71">
        <f t="shared" ca="1" si="81"/>
        <v>47110</v>
      </c>
      <c r="AQ84" s="71">
        <f t="shared" ca="1" si="60"/>
        <v>47141</v>
      </c>
      <c r="AR84" s="72">
        <f t="shared" ca="1" si="61"/>
        <v>31</v>
      </c>
      <c r="AS84" s="73">
        <f ca="1">SUM(AR$15:AR84)/360</f>
        <v>5.9249999999999998</v>
      </c>
      <c r="AT84" s="74">
        <f t="shared" si="62"/>
        <v>25000000</v>
      </c>
      <c r="AU84" s="59">
        <f t="shared" si="82"/>
        <v>0.04</v>
      </c>
      <c r="AV84" s="57">
        <f>Volatilities_Resets!$E73*0.01</f>
        <v>2.92375E-2</v>
      </c>
      <c r="AW84" s="61">
        <f>IF(AU84=AX$11,Volatilities_Resets!$AA73,IF(AU84&gt;=AW$11,IF(AU84&lt;AX$11,(((Volatilities_Resets!$AA73-Volatilities_Resets!$Y73)/50)*((Calculator!AU84-Calculator!AW$11)*10000)+Volatilities_Resets!$Y73)),IF(AU84&gt;=AW$10,IF(AU84&lt;AX$10,(((Volatilities_Resets!$Y73-Volatilities_Resets!$W73)/50)*((Calculator!AU84-Calculator!AW$10)*10000)+Volatilities_Resets!$W73)),IF(AU84&gt;=AW$9,IF(AU84&lt;AX$9,(((Volatilities_Resets!$W73-Volatilities_Resets!$U73)/50)*((Calculator!AU84-Calculator!AW$9)*10000)+Volatilities_Resets!$U73)),IF(AU84&gt;=AW$8,IF(AU84&lt;AX$8,(((Volatilities_Resets!$U73-Volatilities_Resets!$S73)/50)*((Calculator!AU84-Calculator!AW$8)*10000)+Volatilities_Resets!$S73)),IF(AU84&gt;=AW$7,IF(AU84&lt;AX$7,(((Volatilities_Resets!$S73-Volatilities_Resets!$Q73)/50)*((Calculator!AU84-Calculator!AW$7)*10000)+Volatilities_Resets!$Q73)),IF(AU84&gt;=AW$6,IF(AU84&lt;AX$6,(((Volatilities_Resets!$Q73-Volatilities_Resets!$O73)/50)*((Calculator!AU84-Calculator!AW$6)*10000)+Volatilities_Resets!$O73)),IF(AU84&gt;=AW$5,IF(AU84&lt;AX$5,(((Volatilities_Resets!$O73-Volatilities_Resets!$M73)/50)*((Calculator!AU84-Calculator!AW$5)*10000)+Volatilities_Resets!$M73)),IF(AU84&gt;=AW$4,IF(AU84&lt;AX$4,(((Volatilities_Resets!$M73-Volatilities_Resets!$K73)/50)*((Calculator!AU84-Calculator!AW$4)*10000)+Volatilities_Resets!$K73)),IF(AU84&gt;=AW$3,IF(AU84&lt;AX$3,(((Volatilities_Resets!$K73-Volatilities_Resets!$I73)/50)*((Calculator!AU84-Calculator!AW$3)*10000)+Volatilities_Resets!$I73)),IF(AU84&gt;=AW$2,IF(AU84&lt;AX$2,(((Volatilities_Resets!$I73-Volatilities_Resets!$G73)/50)*((Calculator!AU84-Calculator!AW$2)*10000)+Volatilities_Resets!$G73)),"Well, something broke...")))))))))))/10000</f>
        <v>1.2484E-2</v>
      </c>
      <c r="AX84" s="63">
        <f t="shared" ca="1" si="83"/>
        <v>13352.902742559047</v>
      </c>
      <c r="AY84" s="63">
        <f t="shared" ca="1" si="84"/>
        <v>5.4061955510352076E-4</v>
      </c>
      <c r="AZ84" s="63">
        <f t="shared" ca="1" si="98"/>
        <v>965954.99691618234</v>
      </c>
      <c r="BC84" s="63">
        <f t="shared" ca="1" si="63"/>
        <v>134.56610955295253</v>
      </c>
      <c r="BD84" s="63">
        <f ca="1">SUM($BC$15:BC84)</f>
        <v>7088.1672971420321</v>
      </c>
      <c r="BF84" s="52">
        <f ca="1">EXP(-AVERAGE(AV$15:AV84)*AS84)</f>
        <v>0.82766042460491884</v>
      </c>
      <c r="BH84" s="52">
        <f t="shared" ca="1" si="85"/>
        <v>70</v>
      </c>
      <c r="BI84" s="71">
        <f t="shared" ca="1" si="86"/>
        <v>47110</v>
      </c>
      <c r="BJ84" s="71">
        <f t="shared" ca="1" si="64"/>
        <v>47141</v>
      </c>
      <c r="BK84" s="72">
        <f t="shared" ca="1" si="65"/>
        <v>31</v>
      </c>
      <c r="BL84" s="73">
        <f ca="1">SUM(BK$15:BK84)/360</f>
        <v>5.9249999999999998</v>
      </c>
      <c r="BM84" s="74">
        <f t="shared" si="66"/>
        <v>25000000</v>
      </c>
      <c r="BN84" s="59">
        <f t="shared" si="87"/>
        <v>0.05</v>
      </c>
      <c r="BO84" s="57">
        <f>Volatilities_Resets!$E73*0.01</f>
        <v>2.92375E-2</v>
      </c>
      <c r="BP84" s="61">
        <f>IF(BN84=BQ$11,Volatilities_Resets!$AA73,IF(BN84&gt;=BP$11,IF(BN84&lt;BQ$11,(((Volatilities_Resets!$AA73-Volatilities_Resets!$Y73)/50)*((Calculator!BN84-Calculator!BP$11)*10000)+Volatilities_Resets!$Y73)),IF(BN84&gt;=BP$10,IF(BN84&lt;BQ$10,(((Volatilities_Resets!$Y73-Volatilities_Resets!$W73)/50)*((Calculator!BN84-Calculator!BP$10)*10000)+Volatilities_Resets!$W73)),IF(BN84&gt;=BP$9,IF(BN84&lt;BQ$9,(((Volatilities_Resets!$W73-Volatilities_Resets!$U73)/50)*((Calculator!BN84-Calculator!BP$9)*10000)+Volatilities_Resets!$U73)),IF(BN84&gt;=BP$8,IF(BN84&lt;BQ$8,(((Volatilities_Resets!$U73-Volatilities_Resets!$S73)/50)*((Calculator!BN84-Calculator!BP$8)*10000)+Volatilities_Resets!$S73)),IF(BN84&gt;=BP$7,IF(BN84&lt;BQ$7,(((Volatilities_Resets!$S73-Volatilities_Resets!$Q73)/50)*((Calculator!BN84-Calculator!BP$7)*10000)+Volatilities_Resets!$Q73)),IF(BN84&gt;=BP$6,IF(BN84&lt;BQ$6,(((Volatilities_Resets!$Q73-Volatilities_Resets!$O73)/50)*((Calculator!BN84-Calculator!BP$6)*10000)+Volatilities_Resets!$O73)),IF(BN84&gt;=BP$5,IF(BN84&lt;BQ$5,(((Volatilities_Resets!$O73-Volatilities_Resets!$M73)/50)*((Calculator!BN84-Calculator!BP$5)*10000)+Volatilities_Resets!$M73)),IF(BN84&gt;=BP$4,IF(BN84&lt;BQ$4,(((Volatilities_Resets!$M73-Volatilities_Resets!$K73)/50)*((Calculator!BN84-Calculator!BP$4)*10000)+Volatilities_Resets!$K73)),IF(BN84&gt;=BP$3,IF(BN84&lt;BQ$3,(((Volatilities_Resets!$K73-Volatilities_Resets!$I73)/50)*((Calculator!BN84-Calculator!BP$3)*10000)+Volatilities_Resets!$I73)),IF(BN84&gt;=BP$2,IF(BN84&lt;BQ$2,(((Volatilities_Resets!$I73-Volatilities_Resets!$G73)/50)*((Calculator!BN84-Calculator!BP$2)*10000)+Volatilities_Resets!$G73)),"Well, something broke...")))))))))))/10000</f>
        <v>1.3491999999999999E-2</v>
      </c>
      <c r="BQ84" s="63">
        <f t="shared" ca="1" si="88"/>
        <v>9363.1815632753114</v>
      </c>
      <c r="BR84" s="63">
        <f t="shared" ca="1" si="89"/>
        <v>3.8020288818980328E-4</v>
      </c>
      <c r="BS84" s="63">
        <f t="shared" ca="1" si="99"/>
        <v>549329.0176175473</v>
      </c>
      <c r="BV84" s="63">
        <f t="shared" ca="1" si="90"/>
        <v>117.43726856633521</v>
      </c>
      <c r="BW84" s="63">
        <f ca="1">SUM($BV$15:BV84)</f>
        <v>6089.2444767413126</v>
      </c>
      <c r="BY84" s="52">
        <f ca="1">EXP(-AVERAGE(BO$15:BO84)*BL84)</f>
        <v>0.82766042460491884</v>
      </c>
      <c r="CA84" s="52">
        <f t="shared" ca="1" si="91"/>
        <v>70</v>
      </c>
      <c r="CB84" s="71">
        <f t="shared" ca="1" si="92"/>
        <v>47110</v>
      </c>
      <c r="CC84" s="71">
        <f t="shared" ca="1" si="67"/>
        <v>47141</v>
      </c>
      <c r="CD84" s="72">
        <f t="shared" ca="1" si="68"/>
        <v>31</v>
      </c>
      <c r="CE84" s="73">
        <f ca="1">SUM(CD$15:CD84)/360</f>
        <v>5.9249999999999998</v>
      </c>
      <c r="CF84" s="74">
        <f t="shared" si="69"/>
        <v>25000000</v>
      </c>
      <c r="CG84" s="59">
        <f t="shared" si="93"/>
        <v>0.06</v>
      </c>
      <c r="CH84" s="57">
        <f>Volatilities_Resets!$E73*0.01</f>
        <v>2.92375E-2</v>
      </c>
      <c r="CI84" s="61">
        <f>IF(CG84=CJ$11,Volatilities_Resets!$AA73,IF(CG84&gt;=CI$11,IF(CG84&lt;CJ$11,(((Volatilities_Resets!$AA73-Volatilities_Resets!$Y73)/50)*((Calculator!CG84-Calculator!CI$11)*10000)+Volatilities_Resets!$Y73)),IF(CG84&gt;=CI$10,IF(CG84&lt;CJ$10,(((Volatilities_Resets!$Y73-Volatilities_Resets!$W73)/50)*((Calculator!CG84-Calculator!CI$10)*10000)+Volatilities_Resets!$W73)),IF(CG84&gt;=CI$9,IF(CG84&lt;CJ$9,(((Volatilities_Resets!$W73-Volatilities_Resets!$U73)/50)*((Calculator!CG84-Calculator!CI$9)*10000)+Volatilities_Resets!$U73)),IF(CG84&gt;=CI$8,IF(CG84&lt;CJ$8,(((Volatilities_Resets!$U73-Volatilities_Resets!$S73)/50)*((Calculator!CG84-Calculator!CI$8)*10000)+Volatilities_Resets!$S73)),IF(CG84&gt;=CI$7,IF(CG84&lt;CJ$7,(((Volatilities_Resets!$S73-Volatilities_Resets!$Q73)/50)*((Calculator!CG84-Calculator!CI$7)*10000)+Volatilities_Resets!$Q73)),IF(CG84&gt;=CI$6,IF(CG84&lt;CJ$6,(((Volatilities_Resets!$Q73-Volatilities_Resets!$O73)/50)*((Calculator!CG84-Calculator!CI$6)*10000)+Volatilities_Resets!$O73)),IF(CG84&gt;=CI$5,IF(CG84&lt;CJ$5,(((Volatilities_Resets!$O73-Volatilities_Resets!$M73)/50)*((Calculator!CG84-Calculator!CI$5)*10000)+Volatilities_Resets!$M73)),IF(CG84&gt;=CI$4,IF(CG84&lt;CJ$4,(((Volatilities_Resets!$M73-Volatilities_Resets!$K73)/50)*((Calculator!CG84-Calculator!CI$4)*10000)+Volatilities_Resets!$K73)),IF(CG84&gt;=CI$3,IF(CG84&lt;CJ$3,(((Volatilities_Resets!$K73-Volatilities_Resets!$I73)/50)*((Calculator!CG84-Calculator!CI$3)*10000)+Volatilities_Resets!$I73)),IF(CG84&gt;=CI$2,IF(CG84&lt;CJ$2,(((Volatilities_Resets!$I73-Volatilities_Resets!$G73)/50)*((Calculator!CG84-Calculator!CI$2)*10000)+Volatilities_Resets!$G73)),"Well, something broke...")))))))))))/10000</f>
        <v>1.4769999999999998E-2</v>
      </c>
      <c r="CJ84" s="63">
        <f t="shared" ca="1" si="94"/>
        <v>6973.3363349760002</v>
      </c>
      <c r="CK84" s="63">
        <f t="shared" ca="1" si="95"/>
        <v>2.8374465006772101E-4</v>
      </c>
      <c r="CL84" s="63">
        <f t="shared" ca="1" si="100"/>
        <v>331825.03704616061</v>
      </c>
      <c r="CO84" s="63">
        <f t="shared" ca="1" si="96"/>
        <v>99.550926941456765</v>
      </c>
      <c r="CP84" s="63">
        <f ca="1">SUM($CO$15:CO84)</f>
        <v>4752.2336070726187</v>
      </c>
      <c r="CR84" s="52">
        <f ca="1">EXP(-AVERAGE(CH$15:CH84)*CE84)</f>
        <v>0.82766042460491884</v>
      </c>
      <c r="CT84"/>
      <c r="CU84"/>
      <c r="CV84"/>
      <c r="CW84"/>
      <c r="CX84"/>
      <c r="CY84"/>
      <c r="CZ84"/>
      <c r="DA84"/>
      <c r="DB84"/>
      <c r="DC84"/>
      <c r="DD84"/>
      <c r="DE84"/>
      <c r="DF84"/>
      <c r="DG84"/>
      <c r="DH84"/>
      <c r="DI84"/>
      <c r="DJ84"/>
      <c r="DK84"/>
      <c r="DL84"/>
    </row>
    <row r="85" spans="2:116" ht="15.75" customHeight="1">
      <c r="B85" s="52">
        <v>6</v>
      </c>
      <c r="C85" s="52">
        <f t="shared" ca="1" si="52"/>
        <v>71</v>
      </c>
      <c r="D85" s="71">
        <f t="shared" ca="1" si="70"/>
        <v>47141</v>
      </c>
      <c r="E85" s="71">
        <f t="shared" ca="1" si="53"/>
        <v>47172</v>
      </c>
      <c r="F85" s="72">
        <f t="shared" ca="1" si="54"/>
        <v>31</v>
      </c>
      <c r="G85" s="73">
        <f ca="1">SUM($F$15:F85)/360</f>
        <v>6.0111111111111111</v>
      </c>
      <c r="H85" s="74">
        <f t="shared" si="56"/>
        <v>25000000</v>
      </c>
      <c r="I85" s="59">
        <f>IF('Cap Pricer'!$E$22=DataValidation!$C$2,'Cap Pricer'!$E$23,IF('Cap Pricer'!$E$22=DataValidation!$C$3,VLOOKUP($B85,'Cap Pricer'!$C$25:$E$31,3),""))</f>
        <v>0.02</v>
      </c>
      <c r="J85" s="57">
        <f>Volatilities_Resets!$E74*0.01</f>
        <v>2.92375E-2</v>
      </c>
      <c r="K85" s="61">
        <f>IF(I85=L$11,Volatilities_Resets!$AA74,IF(I85&gt;=K$11,IF(I85&lt;L$11,(((Volatilities_Resets!$AA74-Volatilities_Resets!$Y74)/50)*((Calculator!I85-Calculator!K$11)*10000)+Volatilities_Resets!$Y74)),IF(I85&gt;=K$10,IF(I85&lt;L$10,(((Volatilities_Resets!$Y74-Volatilities_Resets!$W74)/50)*((Calculator!I85-Calculator!K$10)*10000)+Volatilities_Resets!$W74)),IF(I85&gt;=K$9,IF(I85&lt;L$9,(((Volatilities_Resets!$W74-Volatilities_Resets!$U74)/50)*((Calculator!I85-Calculator!K$9)*10000)+Volatilities_Resets!$U74)),IF(I85&gt;=K$8,IF(I85&lt;L$8,(((Volatilities_Resets!$U74-Volatilities_Resets!$S74)/50)*((Calculator!I85-Calculator!K$8)*10000)+Volatilities_Resets!$S74)),IF(I85&gt;=K$7,IF(I85&lt;L$7,(((Volatilities_Resets!$S74-Volatilities_Resets!$Q74)/50)*((Calculator!I85-Calculator!K$7)*10000)+Volatilities_Resets!$Q74)),IF(I85&gt;=K$6,IF(I85&lt;L$6,(((Volatilities_Resets!$Q74-Volatilities_Resets!$O74)/50)*((Calculator!I85-Calculator!K$6)*10000)+Volatilities_Resets!$O74)),IF(I85&gt;=K$5,IF(I85&lt;L$5,(((Volatilities_Resets!$O74-Volatilities_Resets!$M74)/50)*((Calculator!I85-Calculator!K$5)*10000)+Volatilities_Resets!$M74)),IF(I85&gt;=K$4,IF(I85&lt;L$4,(((Volatilities_Resets!$M74-Volatilities_Resets!$K74)/50)*((Calculator!I85-Calculator!K$4)*10000)+Volatilities_Resets!$K74)),IF(I85&gt;=K$3,IF(I85&lt;L$3,(((Volatilities_Resets!$K74-Volatilities_Resets!$I74)/50)*((Calculator!I85-Calculator!K$3)*10000)+Volatilities_Resets!$I74)),IF(I85&gt;=K$2,IF(I85&lt;L$2,(((Volatilities_Resets!$I74-Volatilities_Resets!$G74)/50)*((Calculator!I85-Calculator!K$2)*10000)+Volatilities_Resets!$G74)),"Well, something broke...")))))))))))/10000</f>
        <v>1.1683000000000001E-2</v>
      </c>
      <c r="L85" s="47">
        <f t="shared" ca="1" si="71"/>
        <v>29565.329435090731</v>
      </c>
      <c r="M85" s="63">
        <f t="shared" ca="1" si="72"/>
        <v>1.1892172443141698E-3</v>
      </c>
      <c r="N85" s="63">
        <f t="shared" ca="1" si="55"/>
        <v>2415094.4107456035</v>
      </c>
      <c r="Q85" s="63">
        <f t="shared" ca="1" si="73"/>
        <v>136.30398777424978</v>
      </c>
      <c r="R85" s="63">
        <f ca="1">SUM($Q$15:Q85)</f>
        <v>7032.1622256199471</v>
      </c>
      <c r="T85" s="52">
        <f ca="1">EXP(-AVERAGE(J$15:J85)*G85)</f>
        <v>0.82557605560717917</v>
      </c>
      <c r="U85" s="57"/>
      <c r="V85" s="52">
        <f t="shared" ca="1" si="74"/>
        <v>71</v>
      </c>
      <c r="W85" s="71">
        <f t="shared" ca="1" si="75"/>
        <v>47141</v>
      </c>
      <c r="X85" s="71">
        <f t="shared" ca="1" si="57"/>
        <v>47172</v>
      </c>
      <c r="Y85" s="72">
        <f t="shared" ca="1" si="58"/>
        <v>31</v>
      </c>
      <c r="Z85" s="73">
        <f ca="1">SUM(Y$15:Y85)/360</f>
        <v>6.0111111111111111</v>
      </c>
      <c r="AA85" s="74">
        <f t="shared" si="59"/>
        <v>25000000</v>
      </c>
      <c r="AB85" s="59">
        <f t="shared" si="76"/>
        <v>0.03</v>
      </c>
      <c r="AC85" s="57">
        <f>Volatilities_Resets!$E74*0.01</f>
        <v>2.92375E-2</v>
      </c>
      <c r="AD85" s="61">
        <f>IF(AB85=AE$11,Volatilities_Resets!$AA74,IF(AB85&gt;=AD$11,IF(AB85&lt;AE$11,(((Volatilities_Resets!$AA74-Volatilities_Resets!$Y74)/50)*((Calculator!AB85-Calculator!AD$11)*10000)+Volatilities_Resets!$Y74)),IF(AB85&gt;=AD$10,IF(AB85&lt;AE$10,(((Volatilities_Resets!$Y74-Volatilities_Resets!$W74)/50)*((Calculator!AB85-Calculator!AD$10)*10000)+Volatilities_Resets!$W74)),IF(AB85&gt;=AD$9,IF(AB85&lt;AE$9,(((Volatilities_Resets!$W74-Volatilities_Resets!$U74)/50)*((Calculator!AB85-Calculator!AD$9)*10000)+Volatilities_Resets!$U74)),IF(AB85&gt;=AD$8,IF(AB85&lt;AE$8,(((Volatilities_Resets!$U74-Volatilities_Resets!$S74)/50)*((Calculator!AB85-Calculator!AD$8)*10000)+Volatilities_Resets!$S74)),IF(AB85&gt;=AD$7,IF(AB85&lt;AE$7,(((Volatilities_Resets!$S74-Volatilities_Resets!$Q74)/50)*((Calculator!AB85-Calculator!AD$7)*10000)+Volatilities_Resets!$Q74)),IF(AB85&gt;=AD$6,IF(AB85&lt;AE$6,(((Volatilities_Resets!$Q74-Volatilities_Resets!$O74)/50)*((Calculator!AB85-Calculator!AD$6)*10000)+Volatilities_Resets!$O74)),IF(AB85&gt;=AD$5,IF(AB85&lt;AE$5,(((Volatilities_Resets!$O74-Volatilities_Resets!$M74)/50)*((Calculator!AB85-Calculator!AD$5)*10000)+Volatilities_Resets!$M74)),IF(AB85&gt;=AD$4,IF(AB85&lt;AE$4,(((Volatilities_Resets!$M74-Volatilities_Resets!$K74)/50)*((Calculator!AB85-Calculator!AD$4)*10000)+Volatilities_Resets!$K74)),IF(AB85&gt;=AD$3,IF(AB85&lt;AE$3,(((Volatilities_Resets!$K74-Volatilities_Resets!$I74)/50)*((Calculator!AB85-Calculator!AD$3)*10000)+Volatilities_Resets!$I74)),IF(AB85&gt;=AD$2,IF(AB85&lt;AE$2,(((Volatilities_Resets!$I74-Volatilities_Resets!$G74)/50)*((Calculator!AB85-Calculator!AD$2)*10000)+Volatilities_Resets!$G74)),"Well, something broke...")))))))))))/10000</f>
        <v>1.1677E-2</v>
      </c>
      <c r="AE85" s="63">
        <f t="shared" ca="1" si="77"/>
        <v>19628.627796633231</v>
      </c>
      <c r="AF85" s="63">
        <f t="shared" ca="1" si="78"/>
        <v>7.9209617125491135E-4</v>
      </c>
      <c r="AG85" s="63">
        <f t="shared" ca="1" si="97"/>
        <v>1592486.0014019087</v>
      </c>
      <c r="AJ85" s="63">
        <f t="shared" ca="1" si="79"/>
        <v>143.46570482856009</v>
      </c>
      <c r="AK85" s="63">
        <f ca="1">SUM($AJ$15:AJ85)</f>
        <v>7575.2301541762163</v>
      </c>
      <c r="AM85" s="52">
        <f ca="1">EXP(-AVERAGE(AC$15:AC85)*Z85)</f>
        <v>0.82557605560717917</v>
      </c>
      <c r="AO85" s="52">
        <f t="shared" ca="1" si="80"/>
        <v>71</v>
      </c>
      <c r="AP85" s="71">
        <f t="shared" ca="1" si="81"/>
        <v>47141</v>
      </c>
      <c r="AQ85" s="71">
        <f t="shared" ca="1" si="60"/>
        <v>47172</v>
      </c>
      <c r="AR85" s="72">
        <f t="shared" ca="1" si="61"/>
        <v>31</v>
      </c>
      <c r="AS85" s="73">
        <f ca="1">SUM(AR$15:AR85)/360</f>
        <v>6.0111111111111111</v>
      </c>
      <c r="AT85" s="74">
        <f t="shared" si="62"/>
        <v>25000000</v>
      </c>
      <c r="AU85" s="59">
        <f t="shared" si="82"/>
        <v>0.04</v>
      </c>
      <c r="AV85" s="57">
        <f>Volatilities_Resets!$E74*0.01</f>
        <v>2.92375E-2</v>
      </c>
      <c r="AW85" s="61">
        <f>IF(AU85=AX$11,Volatilities_Resets!$AA74,IF(AU85&gt;=AW$11,IF(AU85&lt;AX$11,(((Volatilities_Resets!$AA74-Volatilities_Resets!$Y74)/50)*((Calculator!AU85-Calculator!AW$11)*10000)+Volatilities_Resets!$Y74)),IF(AU85&gt;=AW$10,IF(AU85&lt;AX$10,(((Volatilities_Resets!$Y74-Volatilities_Resets!$W74)/50)*((Calculator!AU85-Calculator!AW$10)*10000)+Volatilities_Resets!$W74)),IF(AU85&gt;=AW$9,IF(AU85&lt;AX$9,(((Volatilities_Resets!$W74-Volatilities_Resets!$U74)/50)*((Calculator!AU85-Calculator!AW$9)*10000)+Volatilities_Resets!$U74)),IF(AU85&gt;=AW$8,IF(AU85&lt;AX$8,(((Volatilities_Resets!$U74-Volatilities_Resets!$S74)/50)*((Calculator!AU85-Calculator!AW$8)*10000)+Volatilities_Resets!$S74)),IF(AU85&gt;=AW$7,IF(AU85&lt;AX$7,(((Volatilities_Resets!$S74-Volatilities_Resets!$Q74)/50)*((Calculator!AU85-Calculator!AW$7)*10000)+Volatilities_Resets!$Q74)),IF(AU85&gt;=AW$6,IF(AU85&lt;AX$6,(((Volatilities_Resets!$Q74-Volatilities_Resets!$O74)/50)*((Calculator!AU85-Calculator!AW$6)*10000)+Volatilities_Resets!$O74)),IF(AU85&gt;=AW$5,IF(AU85&lt;AX$5,(((Volatilities_Resets!$O74-Volatilities_Resets!$M74)/50)*((Calculator!AU85-Calculator!AW$5)*10000)+Volatilities_Resets!$M74)),IF(AU85&gt;=AW$4,IF(AU85&lt;AX$4,(((Volatilities_Resets!$M74-Volatilities_Resets!$K74)/50)*((Calculator!AU85-Calculator!AW$4)*10000)+Volatilities_Resets!$K74)),IF(AU85&gt;=AW$3,IF(AU85&lt;AX$3,(((Volatilities_Resets!$K74-Volatilities_Resets!$I74)/50)*((Calculator!AU85-Calculator!AW$3)*10000)+Volatilities_Resets!$I74)),IF(AU85&gt;=AW$2,IF(AU85&lt;AX$2,(((Volatilities_Resets!$I74-Volatilities_Resets!$G74)/50)*((Calculator!AU85-Calculator!AW$2)*10000)+Volatilities_Resets!$G74)),"Well, something broke...")))))))))))/10000</f>
        <v>1.2195999999999999E-2</v>
      </c>
      <c r="AX85" s="63">
        <f t="shared" ca="1" si="83"/>
        <v>12995.908604584831</v>
      </c>
      <c r="AY85" s="63">
        <f t="shared" ca="1" si="84"/>
        <v>5.2635714821534958E-4</v>
      </c>
      <c r="AZ85" s="63">
        <f t="shared" ca="1" si="98"/>
        <v>978950.90552076721</v>
      </c>
      <c r="BC85" s="63">
        <f t="shared" ca="1" si="63"/>
        <v>134.58549180224767</v>
      </c>
      <c r="BD85" s="63">
        <f ca="1">SUM($BC$15:BC85)</f>
        <v>7222.7527889442799</v>
      </c>
      <c r="BF85" s="52">
        <f ca="1">EXP(-AVERAGE(AV$15:AV85)*AS85)</f>
        <v>0.82557605560717917</v>
      </c>
      <c r="BH85" s="52">
        <f t="shared" ca="1" si="85"/>
        <v>71</v>
      </c>
      <c r="BI85" s="71">
        <f t="shared" ca="1" si="86"/>
        <v>47141</v>
      </c>
      <c r="BJ85" s="71">
        <f t="shared" ca="1" si="64"/>
        <v>47172</v>
      </c>
      <c r="BK85" s="72">
        <f t="shared" ca="1" si="65"/>
        <v>31</v>
      </c>
      <c r="BL85" s="73">
        <f ca="1">SUM(BK$15:BK85)/360</f>
        <v>6.0111111111111111</v>
      </c>
      <c r="BM85" s="74">
        <f t="shared" si="66"/>
        <v>25000000</v>
      </c>
      <c r="BN85" s="59">
        <f t="shared" si="87"/>
        <v>0.05</v>
      </c>
      <c r="BO85" s="57">
        <f>Volatilities_Resets!$E74*0.01</f>
        <v>2.92375E-2</v>
      </c>
      <c r="BP85" s="61">
        <f>IF(BN85=BQ$11,Volatilities_Resets!$AA74,IF(BN85&gt;=BP$11,IF(BN85&lt;BQ$11,(((Volatilities_Resets!$AA74-Volatilities_Resets!$Y74)/50)*((Calculator!BN85-Calculator!BP$11)*10000)+Volatilities_Resets!$Y74)),IF(BN85&gt;=BP$10,IF(BN85&lt;BQ$10,(((Volatilities_Resets!$Y74-Volatilities_Resets!$W74)/50)*((Calculator!BN85-Calculator!BP$10)*10000)+Volatilities_Resets!$W74)),IF(BN85&gt;=BP$9,IF(BN85&lt;BQ$9,(((Volatilities_Resets!$W74-Volatilities_Resets!$U74)/50)*((Calculator!BN85-Calculator!BP$9)*10000)+Volatilities_Resets!$U74)),IF(BN85&gt;=BP$8,IF(BN85&lt;BQ$8,(((Volatilities_Resets!$U74-Volatilities_Resets!$S74)/50)*((Calculator!BN85-Calculator!BP$8)*10000)+Volatilities_Resets!$S74)),IF(BN85&gt;=BP$7,IF(BN85&lt;BQ$7,(((Volatilities_Resets!$S74-Volatilities_Resets!$Q74)/50)*((Calculator!BN85-Calculator!BP$7)*10000)+Volatilities_Resets!$Q74)),IF(BN85&gt;=BP$6,IF(BN85&lt;BQ$6,(((Volatilities_Resets!$Q74-Volatilities_Resets!$O74)/50)*((Calculator!BN85-Calculator!BP$6)*10000)+Volatilities_Resets!$O74)),IF(BN85&gt;=BP$5,IF(BN85&lt;BQ$5,(((Volatilities_Resets!$O74-Volatilities_Resets!$M74)/50)*((Calculator!BN85-Calculator!BP$5)*10000)+Volatilities_Resets!$M74)),IF(BN85&gt;=BP$4,IF(BN85&lt;BQ$4,(((Volatilities_Resets!$M74-Volatilities_Resets!$K74)/50)*((Calculator!BN85-Calculator!BP$4)*10000)+Volatilities_Resets!$K74)),IF(BN85&gt;=BP$3,IF(BN85&lt;BQ$3,(((Volatilities_Resets!$K74-Volatilities_Resets!$I74)/50)*((Calculator!BN85-Calculator!BP$3)*10000)+Volatilities_Resets!$I74)),IF(BN85&gt;=BP$2,IF(BN85&lt;BQ$2,(((Volatilities_Resets!$I74-Volatilities_Resets!$G74)/50)*((Calculator!BN85-Calculator!BP$2)*10000)+Volatilities_Resets!$G74)),"Well, something broke...")))))))))))/10000</f>
        <v>1.3161000000000001E-2</v>
      </c>
      <c r="BQ85" s="63">
        <f t="shared" ca="1" si="88"/>
        <v>9007.6684436057894</v>
      </c>
      <c r="BR85" s="63">
        <f t="shared" ca="1" si="89"/>
        <v>3.6596883644206664E-4</v>
      </c>
      <c r="BS85" s="63">
        <f t="shared" ca="1" si="99"/>
        <v>558336.68606115307</v>
      </c>
      <c r="BV85" s="63">
        <f t="shared" ca="1" si="90"/>
        <v>116.86232773543095</v>
      </c>
      <c r="BW85" s="63">
        <f ca="1">SUM($BV$15:BV85)</f>
        <v>6206.1068044767435</v>
      </c>
      <c r="BY85" s="52">
        <f ca="1">EXP(-AVERAGE(BO$15:BO85)*BL85)</f>
        <v>0.82557605560717917</v>
      </c>
      <c r="CA85" s="52">
        <f t="shared" ca="1" si="91"/>
        <v>71</v>
      </c>
      <c r="CB85" s="71">
        <f t="shared" ca="1" si="92"/>
        <v>47141</v>
      </c>
      <c r="CC85" s="71">
        <f t="shared" ca="1" si="67"/>
        <v>47172</v>
      </c>
      <c r="CD85" s="72">
        <f t="shared" ca="1" si="68"/>
        <v>31</v>
      </c>
      <c r="CE85" s="73">
        <f ca="1">SUM(CD$15:CD85)/360</f>
        <v>6.0111111111111111</v>
      </c>
      <c r="CF85" s="74">
        <f t="shared" si="69"/>
        <v>25000000</v>
      </c>
      <c r="CG85" s="59">
        <f t="shared" si="93"/>
        <v>0.06</v>
      </c>
      <c r="CH85" s="57">
        <f>Volatilities_Resets!$E74*0.01</f>
        <v>2.92375E-2</v>
      </c>
      <c r="CI85" s="61">
        <f>IF(CG85=CJ$11,Volatilities_Resets!$AA74,IF(CG85&gt;=CI$11,IF(CG85&lt;CJ$11,(((Volatilities_Resets!$AA74-Volatilities_Resets!$Y74)/50)*((Calculator!CG85-Calculator!CI$11)*10000)+Volatilities_Resets!$Y74)),IF(CG85&gt;=CI$10,IF(CG85&lt;CJ$10,(((Volatilities_Resets!$Y74-Volatilities_Resets!$W74)/50)*((Calculator!CG85-Calculator!CI$10)*10000)+Volatilities_Resets!$W74)),IF(CG85&gt;=CI$9,IF(CG85&lt;CJ$9,(((Volatilities_Resets!$W74-Volatilities_Resets!$U74)/50)*((Calculator!CG85-Calculator!CI$9)*10000)+Volatilities_Resets!$U74)),IF(CG85&gt;=CI$8,IF(CG85&lt;CJ$8,(((Volatilities_Resets!$U74-Volatilities_Resets!$S74)/50)*((Calculator!CG85-Calculator!CI$8)*10000)+Volatilities_Resets!$S74)),IF(CG85&gt;=CI$7,IF(CG85&lt;CJ$7,(((Volatilities_Resets!$S74-Volatilities_Resets!$Q74)/50)*((Calculator!CG85-Calculator!CI$7)*10000)+Volatilities_Resets!$Q74)),IF(CG85&gt;=CI$6,IF(CG85&lt;CJ$6,(((Volatilities_Resets!$Q74-Volatilities_Resets!$O74)/50)*((Calculator!CG85-Calculator!CI$6)*10000)+Volatilities_Resets!$O74)),IF(CG85&gt;=CI$5,IF(CG85&lt;CJ$5,(((Volatilities_Resets!$O74-Volatilities_Resets!$M74)/50)*((Calculator!CG85-Calculator!CI$5)*10000)+Volatilities_Resets!$M74)),IF(CG85&gt;=CI$4,IF(CG85&lt;CJ$4,(((Volatilities_Resets!$M74-Volatilities_Resets!$K74)/50)*((Calculator!CG85-Calculator!CI$4)*10000)+Volatilities_Resets!$K74)),IF(CG85&gt;=CI$3,IF(CG85&lt;CJ$3,(((Volatilities_Resets!$K74-Volatilities_Resets!$I74)/50)*((Calculator!CG85-Calculator!CI$3)*10000)+Volatilities_Resets!$I74)),IF(CG85&gt;=CI$2,IF(CG85&lt;CJ$2,(((Volatilities_Resets!$I74-Volatilities_Resets!$G74)/50)*((Calculator!CG85-Calculator!CI$2)*10000)+Volatilities_Resets!$G74)),"Well, something broke...")))))))))))/10000</f>
        <v>1.439E-2</v>
      </c>
      <c r="CJ85" s="63">
        <f t="shared" ca="1" si="94"/>
        <v>6627.970635879773</v>
      </c>
      <c r="CK85" s="63">
        <f t="shared" ca="1" si="95"/>
        <v>2.698859158006309E-4</v>
      </c>
      <c r="CL85" s="63">
        <f t="shared" ca="1" si="100"/>
        <v>338453.00768204039</v>
      </c>
      <c r="CO85" s="63">
        <f t="shared" ca="1" si="96"/>
        <v>98.389891515573296</v>
      </c>
      <c r="CP85" s="63">
        <f ca="1">SUM($CO$15:CO85)</f>
        <v>4850.623498588192</v>
      </c>
      <c r="CR85" s="52">
        <f ca="1">EXP(-AVERAGE(CH$15:CH85)*CE85)</f>
        <v>0.82557605560717917</v>
      </c>
      <c r="CT85"/>
      <c r="CU85"/>
      <c r="CV85"/>
      <c r="CW85"/>
      <c r="CX85"/>
      <c r="CY85"/>
      <c r="CZ85"/>
      <c r="DA85"/>
      <c r="DB85"/>
      <c r="DC85"/>
      <c r="DD85"/>
      <c r="DE85"/>
      <c r="DF85"/>
      <c r="DG85"/>
      <c r="DH85"/>
      <c r="DI85"/>
      <c r="DJ85"/>
      <c r="DK85"/>
      <c r="DL85"/>
    </row>
    <row r="86" spans="2:116" ht="15.75" customHeight="1">
      <c r="B86" s="52">
        <v>6</v>
      </c>
      <c r="C86" s="75">
        <f t="shared" ca="1" si="52"/>
        <v>72</v>
      </c>
      <c r="D86" s="76">
        <f t="shared" ca="1" si="70"/>
        <v>47172</v>
      </c>
      <c r="E86" s="76">
        <f t="shared" ca="1" si="53"/>
        <v>47200</v>
      </c>
      <c r="F86" s="77">
        <f t="shared" ca="1" si="54"/>
        <v>28</v>
      </c>
      <c r="G86" s="78">
        <f ca="1">SUM($F$15:F86)/360</f>
        <v>6.0888888888888886</v>
      </c>
      <c r="H86" s="79">
        <f t="shared" si="56"/>
        <v>25000000</v>
      </c>
      <c r="I86" s="80">
        <f>IF('Cap Pricer'!$E$22=DataValidation!$C$2,'Cap Pricer'!$E$23,IF('Cap Pricer'!$E$22=DataValidation!$C$3,VLOOKUP($B86,'Cap Pricer'!$C$25:$E$31,3),""))</f>
        <v>0.02</v>
      </c>
      <c r="J86" s="81">
        <f>Volatilities_Resets!$E75*0.01</f>
        <v>2.92327E-2</v>
      </c>
      <c r="K86" s="82">
        <f>IF(I86=L$11,Volatilities_Resets!$AA75,IF(I86&gt;=K$11,IF(I86&lt;L$11,(((Volatilities_Resets!$AA75-Volatilities_Resets!$Y75)/50)*((Calculator!I86-Calculator!K$11)*10000)+Volatilities_Resets!$Y75)),IF(I86&gt;=K$10,IF(I86&lt;L$10,(((Volatilities_Resets!$Y75-Volatilities_Resets!$W75)/50)*((Calculator!I86-Calculator!K$10)*10000)+Volatilities_Resets!$W75)),IF(I86&gt;=K$9,IF(I86&lt;L$9,(((Volatilities_Resets!$W75-Volatilities_Resets!$U75)/50)*((Calculator!I86-Calculator!K$9)*10000)+Volatilities_Resets!$U75)),IF(I86&gt;=K$8,IF(I86&lt;L$8,(((Volatilities_Resets!$U75-Volatilities_Resets!$S75)/50)*((Calculator!I86-Calculator!K$8)*10000)+Volatilities_Resets!$S75)),IF(I86&gt;=K$7,IF(I86&lt;L$7,(((Volatilities_Resets!$S75-Volatilities_Resets!$Q75)/50)*((Calculator!I86-Calculator!K$7)*10000)+Volatilities_Resets!$Q75)),IF(I86&gt;=K$6,IF(I86&lt;L$6,(((Volatilities_Resets!$Q75-Volatilities_Resets!$O75)/50)*((Calculator!I86-Calculator!K$6)*10000)+Volatilities_Resets!$O75)),IF(I86&gt;=K$5,IF(I86&lt;L$5,(((Volatilities_Resets!$O75-Volatilities_Resets!$M75)/50)*((Calculator!I86-Calculator!K$5)*10000)+Volatilities_Resets!$M75)),IF(I86&gt;=K$4,IF(I86&lt;L$4,(((Volatilities_Resets!$M75-Volatilities_Resets!$K75)/50)*((Calculator!I86-Calculator!K$4)*10000)+Volatilities_Resets!$K75)),IF(I86&gt;=K$3,IF(I86&lt;L$3,(((Volatilities_Resets!$K75-Volatilities_Resets!$I75)/50)*((Calculator!I86-Calculator!K$3)*10000)+Volatilities_Resets!$I75)),IF(I86&gt;=K$2,IF(I86&lt;L$2,(((Volatilities_Resets!$I75-Volatilities_Resets!$G75)/50)*((Calculator!I86-Calculator!K$2)*10000)+Volatilities_Resets!$G75)),"Well, something broke...")))))))))))/10000</f>
        <v>1.1412E-2</v>
      </c>
      <c r="L86" s="83">
        <f t="shared" ca="1" si="71"/>
        <v>26345.842662696166</v>
      </c>
      <c r="M86" s="84">
        <f t="shared" ca="1" si="72"/>
        <v>1.0598133078673028E-3</v>
      </c>
      <c r="N86" s="84">
        <f t="shared" ca="1" si="55"/>
        <v>2441440.2534082998</v>
      </c>
      <c r="O86" s="84">
        <f ca="1">SUM(L75:L86)</f>
        <v>347978.19584601995</v>
      </c>
      <c r="P86" s="49"/>
      <c r="Q86" s="84">
        <f t="shared" ca="1" si="73"/>
        <v>123.13732636319871</v>
      </c>
      <c r="R86" s="84">
        <f ca="1">SUM($Q$15:Q86)</f>
        <v>7155.2995519831456</v>
      </c>
      <c r="T86" s="52">
        <f ca="1">EXP(-AVERAGE(J$15:J86)*G86)</f>
        <v>0.82371595670651609</v>
      </c>
      <c r="U86" s="57"/>
      <c r="V86" s="75">
        <f t="shared" ca="1" si="74"/>
        <v>72</v>
      </c>
      <c r="W86" s="76">
        <f t="shared" ca="1" si="75"/>
        <v>47172</v>
      </c>
      <c r="X86" s="76">
        <f t="shared" ca="1" si="57"/>
        <v>47200</v>
      </c>
      <c r="Y86" s="77">
        <f t="shared" ca="1" si="58"/>
        <v>28</v>
      </c>
      <c r="Z86" s="78">
        <f ca="1">SUM(Y$15:Y86)/360</f>
        <v>6.0888888888888886</v>
      </c>
      <c r="AA86" s="79">
        <f t="shared" si="59"/>
        <v>25000000</v>
      </c>
      <c r="AB86" s="80">
        <f t="shared" si="76"/>
        <v>0.03</v>
      </c>
      <c r="AC86" s="81">
        <f>Volatilities_Resets!$E75*0.01</f>
        <v>2.92327E-2</v>
      </c>
      <c r="AD86" s="82">
        <f>IF(AB86=AE$11,Volatilities_Resets!$AA75,IF(AB86&gt;=AD$11,IF(AB86&lt;AE$11,(((Volatilities_Resets!$AA75-Volatilities_Resets!$Y75)/50)*((Calculator!AB86-Calculator!AD$11)*10000)+Volatilities_Resets!$Y75)),IF(AB86&gt;=AD$10,IF(AB86&lt;AE$10,(((Volatilities_Resets!$Y75-Volatilities_Resets!$W75)/50)*((Calculator!AB86-Calculator!AD$10)*10000)+Volatilities_Resets!$W75)),IF(AB86&gt;=AD$9,IF(AB86&lt;AE$9,(((Volatilities_Resets!$W75-Volatilities_Resets!$U75)/50)*((Calculator!AB86-Calculator!AD$9)*10000)+Volatilities_Resets!$U75)),IF(AB86&gt;=AD$8,IF(AB86&lt;AE$8,(((Volatilities_Resets!$U75-Volatilities_Resets!$S75)/50)*((Calculator!AB86-Calculator!AD$8)*10000)+Volatilities_Resets!$S75)),IF(AB86&gt;=AD$7,IF(AB86&lt;AE$7,(((Volatilities_Resets!$S75-Volatilities_Resets!$Q75)/50)*((Calculator!AB86-Calculator!AD$7)*10000)+Volatilities_Resets!$Q75)),IF(AB86&gt;=AD$6,IF(AB86&lt;AE$6,(((Volatilities_Resets!$Q75-Volatilities_Resets!$O75)/50)*((Calculator!AB86-Calculator!AD$6)*10000)+Volatilities_Resets!$O75)),IF(AB86&gt;=AD$5,IF(AB86&lt;AE$5,(((Volatilities_Resets!$O75-Volatilities_Resets!$M75)/50)*((Calculator!AB86-Calculator!AD$5)*10000)+Volatilities_Resets!$M75)),IF(AB86&gt;=AD$4,IF(AB86&lt;AE$4,(((Volatilities_Resets!$M75-Volatilities_Resets!$K75)/50)*((Calculator!AB86-Calculator!AD$4)*10000)+Volatilities_Resets!$K75)),IF(AB86&gt;=AD$3,IF(AB86&lt;AE$3,(((Volatilities_Resets!$K75-Volatilities_Resets!$I75)/50)*((Calculator!AB86-Calculator!AD$3)*10000)+Volatilities_Resets!$I75)),IF(AB86&gt;=AD$2,IF(AB86&lt;AE$2,(((Volatilities_Resets!$I75-Volatilities_Resets!$G75)/50)*((Calculator!AB86-Calculator!AD$2)*10000)+Volatilities_Resets!$G75)),"Well, something broke...")))))))))))/10000</f>
        <v>1.1398999999999999E-2</v>
      </c>
      <c r="AE86" s="84">
        <f t="shared" ca="1" si="77"/>
        <v>17365.135324035338</v>
      </c>
      <c r="AF86" s="84">
        <f t="shared" ca="1" si="78"/>
        <v>7.0090993134893991E-4</v>
      </c>
      <c r="AG86" s="84">
        <f t="shared" ca="1" si="97"/>
        <v>1609851.136725944</v>
      </c>
      <c r="AH86" s="84">
        <f ca="1">SUM(AE75:AE86)</f>
        <v>229533.41672211772</v>
      </c>
      <c r="AI86" s="49"/>
      <c r="AJ86" s="84">
        <f t="shared" ca="1" si="79"/>
        <v>129.8283098788788</v>
      </c>
      <c r="AK86" s="84">
        <f ca="1">SUM($AJ$15:AJ86)</f>
        <v>7705.0584640550951</v>
      </c>
      <c r="AM86" s="52">
        <f ca="1">EXP(-AVERAGE(AC$15:AC86)*Z86)</f>
        <v>0.82371595670651609</v>
      </c>
      <c r="AO86" s="75">
        <f t="shared" ca="1" si="80"/>
        <v>72</v>
      </c>
      <c r="AP86" s="76">
        <f t="shared" ca="1" si="81"/>
        <v>47172</v>
      </c>
      <c r="AQ86" s="76">
        <f t="shared" ca="1" si="60"/>
        <v>47200</v>
      </c>
      <c r="AR86" s="77">
        <f t="shared" ca="1" si="61"/>
        <v>28</v>
      </c>
      <c r="AS86" s="78">
        <f ca="1">SUM(AR$15:AR86)/360</f>
        <v>6.0888888888888886</v>
      </c>
      <c r="AT86" s="79">
        <f t="shared" si="62"/>
        <v>25000000</v>
      </c>
      <c r="AU86" s="80">
        <f t="shared" si="82"/>
        <v>0.04</v>
      </c>
      <c r="AV86" s="81">
        <f>Volatilities_Resets!$E75*0.01</f>
        <v>2.92327E-2</v>
      </c>
      <c r="AW86" s="82">
        <f>IF(AU86=AX$11,Volatilities_Resets!$AA75,IF(AU86&gt;=AW$11,IF(AU86&lt;AX$11,(((Volatilities_Resets!$AA75-Volatilities_Resets!$Y75)/50)*((Calculator!AU86-Calculator!AW$11)*10000)+Volatilities_Resets!$Y75)),IF(AU86&gt;=AW$10,IF(AU86&lt;AX$10,(((Volatilities_Resets!$Y75-Volatilities_Resets!$W75)/50)*((Calculator!AU86-Calculator!AW$10)*10000)+Volatilities_Resets!$W75)),IF(AU86&gt;=AW$9,IF(AU86&lt;AX$9,(((Volatilities_Resets!$W75-Volatilities_Resets!$U75)/50)*((Calculator!AU86-Calculator!AW$9)*10000)+Volatilities_Resets!$U75)),IF(AU86&gt;=AW$8,IF(AU86&lt;AX$8,(((Volatilities_Resets!$U75-Volatilities_Resets!$S75)/50)*((Calculator!AU86-Calculator!AW$8)*10000)+Volatilities_Resets!$S75)),IF(AU86&gt;=AW$7,IF(AU86&lt;AX$7,(((Volatilities_Resets!$S75-Volatilities_Resets!$Q75)/50)*((Calculator!AU86-Calculator!AW$7)*10000)+Volatilities_Resets!$Q75)),IF(AU86&gt;=AW$6,IF(AU86&lt;AX$6,(((Volatilities_Resets!$Q75-Volatilities_Resets!$O75)/50)*((Calculator!AU86-Calculator!AW$6)*10000)+Volatilities_Resets!$O75)),IF(AU86&gt;=AW$5,IF(AU86&lt;AX$5,(((Volatilities_Resets!$O75-Volatilities_Resets!$M75)/50)*((Calculator!AU86-Calculator!AW$5)*10000)+Volatilities_Resets!$M75)),IF(AU86&gt;=AW$4,IF(AU86&lt;AX$4,(((Volatilities_Resets!$M75-Volatilities_Resets!$K75)/50)*((Calculator!AU86-Calculator!AW$4)*10000)+Volatilities_Resets!$K75)),IF(AU86&gt;=AW$3,IF(AU86&lt;AX$3,(((Volatilities_Resets!$K75-Volatilities_Resets!$I75)/50)*((Calculator!AU86-Calculator!AW$3)*10000)+Volatilities_Resets!$I75)),IF(AU86&gt;=AW$2,IF(AU86&lt;AX$2,(((Volatilities_Resets!$I75-Volatilities_Resets!$G75)/50)*((Calculator!AU86-Calculator!AW$2)*10000)+Volatilities_Resets!$G75)),"Well, something broke...")))))))))))/10000</f>
        <v>1.1887999999999999E-2</v>
      </c>
      <c r="AX86" s="84">
        <f t="shared" ca="1" si="83"/>
        <v>11369.790126083006</v>
      </c>
      <c r="AY86" s="84">
        <f t="shared" ca="1" si="84"/>
        <v>4.606909031598178E-4</v>
      </c>
      <c r="AZ86" s="84">
        <f t="shared" ca="1" si="98"/>
        <v>990320.69564685016</v>
      </c>
      <c r="BA86" s="84">
        <f ca="1">SUM(AX75:AX86)</f>
        <v>150919.90123653601</v>
      </c>
      <c r="BB86" s="49"/>
      <c r="BC86" s="84">
        <f t="shared" ca="1" si="63"/>
        <v>121.48364979819308</v>
      </c>
      <c r="BD86" s="84">
        <f ca="1">SUM($BC$15:BC86)</f>
        <v>7344.2364387424732</v>
      </c>
      <c r="BF86" s="52">
        <f ca="1">EXP(-AVERAGE(AV$15:AV86)*AS86)</f>
        <v>0.82371595670651609</v>
      </c>
      <c r="BH86" s="75">
        <f t="shared" ca="1" si="85"/>
        <v>72</v>
      </c>
      <c r="BI86" s="76">
        <f t="shared" ca="1" si="86"/>
        <v>47172</v>
      </c>
      <c r="BJ86" s="76">
        <f t="shared" ca="1" si="64"/>
        <v>47200</v>
      </c>
      <c r="BK86" s="77">
        <f t="shared" ca="1" si="65"/>
        <v>28</v>
      </c>
      <c r="BL86" s="78">
        <f ca="1">SUM(BK$15:BK86)/360</f>
        <v>6.0888888888888886</v>
      </c>
      <c r="BM86" s="79">
        <f t="shared" si="66"/>
        <v>25000000</v>
      </c>
      <c r="BN86" s="80">
        <f t="shared" si="87"/>
        <v>0.05</v>
      </c>
      <c r="BO86" s="81">
        <f>Volatilities_Resets!$E75*0.01</f>
        <v>2.92327E-2</v>
      </c>
      <c r="BP86" s="82">
        <f>IF(BN86=BQ$11,Volatilities_Resets!$AA75,IF(BN86&gt;=BP$11,IF(BN86&lt;BQ$11,(((Volatilities_Resets!$AA75-Volatilities_Resets!$Y75)/50)*((Calculator!BN86-Calculator!BP$11)*10000)+Volatilities_Resets!$Y75)),IF(BN86&gt;=BP$10,IF(BN86&lt;BQ$10,(((Volatilities_Resets!$Y75-Volatilities_Resets!$W75)/50)*((Calculator!BN86-Calculator!BP$10)*10000)+Volatilities_Resets!$W75)),IF(BN86&gt;=BP$9,IF(BN86&lt;BQ$9,(((Volatilities_Resets!$W75-Volatilities_Resets!$U75)/50)*((Calculator!BN86-Calculator!BP$9)*10000)+Volatilities_Resets!$U75)),IF(BN86&gt;=BP$8,IF(BN86&lt;BQ$8,(((Volatilities_Resets!$U75-Volatilities_Resets!$S75)/50)*((Calculator!BN86-Calculator!BP$8)*10000)+Volatilities_Resets!$S75)),IF(BN86&gt;=BP$7,IF(BN86&lt;BQ$7,(((Volatilities_Resets!$S75-Volatilities_Resets!$Q75)/50)*((Calculator!BN86-Calculator!BP$7)*10000)+Volatilities_Resets!$Q75)),IF(BN86&gt;=BP$6,IF(BN86&lt;BQ$6,(((Volatilities_Resets!$Q75-Volatilities_Resets!$O75)/50)*((Calculator!BN86-Calculator!BP$6)*10000)+Volatilities_Resets!$O75)),IF(BN86&gt;=BP$5,IF(BN86&lt;BQ$5,(((Volatilities_Resets!$O75-Volatilities_Resets!$M75)/50)*((Calculator!BN86-Calculator!BP$5)*10000)+Volatilities_Resets!$M75)),IF(BN86&gt;=BP$4,IF(BN86&lt;BQ$4,(((Volatilities_Resets!$M75-Volatilities_Resets!$K75)/50)*((Calculator!BN86-Calculator!BP$4)*10000)+Volatilities_Resets!$K75)),IF(BN86&gt;=BP$3,IF(BN86&lt;BQ$3,(((Volatilities_Resets!$K75-Volatilities_Resets!$I75)/50)*((Calculator!BN86-Calculator!BP$3)*10000)+Volatilities_Resets!$I75)),IF(BN86&gt;=BP$2,IF(BN86&lt;BQ$2,(((Volatilities_Resets!$I75-Volatilities_Resets!$G75)/50)*((Calculator!BN86-Calculator!BP$2)*10000)+Volatilities_Resets!$G75)),"Well, something broke...")))))))))))/10000</f>
        <v>1.2806E-2</v>
      </c>
      <c r="BQ86" s="84">
        <f t="shared" ca="1" si="88"/>
        <v>7770.2068442269319</v>
      </c>
      <c r="BR86" s="84">
        <f t="shared" ca="1" si="89"/>
        <v>3.1589865792205424E-4</v>
      </c>
      <c r="BS86" s="84">
        <f t="shared" ca="1" si="99"/>
        <v>566106.89290537999</v>
      </c>
      <c r="BT86" s="84">
        <f ca="1">SUM(BQ75:BQ86)</f>
        <v>103949.45491806547</v>
      </c>
      <c r="BU86" s="49"/>
      <c r="BV86" s="84">
        <f t="shared" ca="1" si="90"/>
        <v>104.82576631432791</v>
      </c>
      <c r="BW86" s="84">
        <f ca="1">SUM($BV$15:BV86)</f>
        <v>6310.9325707910712</v>
      </c>
      <c r="BY86" s="52">
        <f ca="1">EXP(-AVERAGE(BO$15:BO86)*BL86)</f>
        <v>0.82371595670651609</v>
      </c>
      <c r="CA86" s="75">
        <f t="shared" ca="1" si="91"/>
        <v>72</v>
      </c>
      <c r="CB86" s="76">
        <f t="shared" ca="1" si="92"/>
        <v>47172</v>
      </c>
      <c r="CC86" s="76">
        <f t="shared" ca="1" si="67"/>
        <v>47200</v>
      </c>
      <c r="CD86" s="77">
        <f t="shared" ca="1" si="68"/>
        <v>28</v>
      </c>
      <c r="CE86" s="78">
        <f ca="1">SUM(CD$15:CD86)/360</f>
        <v>6.0888888888888886</v>
      </c>
      <c r="CF86" s="79">
        <f t="shared" si="69"/>
        <v>25000000</v>
      </c>
      <c r="CG86" s="80">
        <f t="shared" si="93"/>
        <v>0.06</v>
      </c>
      <c r="CH86" s="81">
        <f>Volatilities_Resets!$E75*0.01</f>
        <v>2.92327E-2</v>
      </c>
      <c r="CI86" s="82">
        <f>IF(CG86=CJ$11,Volatilities_Resets!$AA75,IF(CG86&gt;=CI$11,IF(CG86&lt;CJ$11,(((Volatilities_Resets!$AA75-Volatilities_Resets!$Y75)/50)*((Calculator!CG86-Calculator!CI$11)*10000)+Volatilities_Resets!$Y75)),IF(CG86&gt;=CI$10,IF(CG86&lt;CJ$10,(((Volatilities_Resets!$Y75-Volatilities_Resets!$W75)/50)*((Calculator!CG86-Calculator!CI$10)*10000)+Volatilities_Resets!$W75)),IF(CG86&gt;=CI$9,IF(CG86&lt;CJ$9,(((Volatilities_Resets!$W75-Volatilities_Resets!$U75)/50)*((Calculator!CG86-Calculator!CI$9)*10000)+Volatilities_Resets!$U75)),IF(CG86&gt;=CI$8,IF(CG86&lt;CJ$8,(((Volatilities_Resets!$U75-Volatilities_Resets!$S75)/50)*((Calculator!CG86-Calculator!CI$8)*10000)+Volatilities_Resets!$S75)),IF(CG86&gt;=CI$7,IF(CG86&lt;CJ$7,(((Volatilities_Resets!$S75-Volatilities_Resets!$Q75)/50)*((Calculator!CG86-Calculator!CI$7)*10000)+Volatilities_Resets!$Q75)),IF(CG86&gt;=CI$6,IF(CG86&lt;CJ$6,(((Volatilities_Resets!$Q75-Volatilities_Resets!$O75)/50)*((Calculator!CG86-Calculator!CI$6)*10000)+Volatilities_Resets!$O75)),IF(CG86&gt;=CI$5,IF(CG86&lt;CJ$5,(((Volatilities_Resets!$O75-Volatilities_Resets!$M75)/50)*((Calculator!CG86-Calculator!CI$5)*10000)+Volatilities_Resets!$M75)),IF(CG86&gt;=CI$4,IF(CG86&lt;CJ$4,(((Volatilities_Resets!$M75-Volatilities_Resets!$K75)/50)*((Calculator!CG86-Calculator!CI$4)*10000)+Volatilities_Resets!$K75)),IF(CG86&gt;=CI$3,IF(CG86&lt;CJ$3,(((Volatilities_Resets!$K75-Volatilities_Resets!$I75)/50)*((Calculator!CG86-Calculator!CI$3)*10000)+Volatilities_Resets!$I75)),IF(CG86&gt;=CI$2,IF(CG86&lt;CJ$2,(((Volatilities_Resets!$I75-Volatilities_Resets!$G75)/50)*((Calculator!CG86-Calculator!CI$2)*10000)+Volatilities_Resets!$G75)),"Well, something broke...")))))))))))/10000</f>
        <v>1.3984E-2</v>
      </c>
      <c r="CJ86" s="84">
        <f t="shared" ca="1" si="94"/>
        <v>5636.1953415639964</v>
      </c>
      <c r="CK86" s="84">
        <f t="shared" ca="1" si="95"/>
        <v>2.2969794253809199E-4</v>
      </c>
      <c r="CL86" s="84">
        <f t="shared" ca="1" si="100"/>
        <v>344089.20302360441</v>
      </c>
      <c r="CM86" s="84">
        <f ca="1">SUM(CJ75:CJ86)</f>
        <v>76098.134210205157</v>
      </c>
      <c r="CN86" s="49"/>
      <c r="CO86" s="84">
        <f t="shared" ca="1" si="96"/>
        <v>87.522474320873272</v>
      </c>
      <c r="CP86" s="84">
        <f ca="1">SUM($CO$15:CO86)</f>
        <v>4938.1459729090657</v>
      </c>
      <c r="CR86" s="52">
        <f ca="1">EXP(-AVERAGE(CH$15:CH86)*CE86)</f>
        <v>0.82371595670651609</v>
      </c>
      <c r="CT86"/>
      <c r="CU86"/>
      <c r="CV86"/>
      <c r="CW86"/>
      <c r="CX86"/>
      <c r="CY86"/>
      <c r="CZ86"/>
      <c r="DA86"/>
      <c r="DB86"/>
      <c r="DC86"/>
      <c r="DD86"/>
      <c r="DE86"/>
      <c r="DF86"/>
      <c r="DG86"/>
      <c r="DH86"/>
      <c r="DI86"/>
      <c r="DJ86"/>
      <c r="DK86"/>
      <c r="DL86"/>
    </row>
    <row r="87" spans="2:116" ht="15.75" customHeight="1">
      <c r="B87" s="52">
        <v>7</v>
      </c>
      <c r="C87" s="52">
        <f t="shared" ca="1" si="52"/>
        <v>73</v>
      </c>
      <c r="D87" s="71">
        <f t="shared" ca="1" si="70"/>
        <v>47200</v>
      </c>
      <c r="E87" s="71">
        <f t="shared" ca="1" si="53"/>
        <v>47231</v>
      </c>
      <c r="F87" s="72">
        <f t="shared" ca="1" si="54"/>
        <v>31</v>
      </c>
      <c r="G87" s="73">
        <f ca="1">SUM($F$15:F87)/360</f>
        <v>6.1749999999999998</v>
      </c>
      <c r="H87" s="74">
        <f t="shared" si="56"/>
        <v>25000000</v>
      </c>
      <c r="I87" s="59">
        <f>IF('Cap Pricer'!$E$22=DataValidation!$C$2,'Cap Pricer'!$E$23,IF('Cap Pricer'!$E$22=DataValidation!$C$3,VLOOKUP($B87,'Cap Pricer'!$C$25:$E$31,3),""))</f>
        <v>0.02</v>
      </c>
      <c r="J87" s="57">
        <f>Volatilities_Resets!$E76*0.01</f>
        <v>2.9624100000000004E-2</v>
      </c>
      <c r="K87" s="61">
        <f>IF(I87=L$11,Volatilities_Resets!$AA76,IF(I87&gt;=K$11,IF(I87&lt;L$11,(((Volatilities_Resets!$AA76-Volatilities_Resets!$Y76)/50)*((Calculator!I87-Calculator!K$11)*10000)+Volatilities_Resets!$Y76)),IF(I87&gt;=K$10,IF(I87&lt;L$10,(((Volatilities_Resets!$Y76-Volatilities_Resets!$W76)/50)*((Calculator!I87-Calculator!K$10)*10000)+Volatilities_Resets!$W76)),IF(I87&gt;=K$9,IF(I87&lt;L$9,(((Volatilities_Resets!$W76-Volatilities_Resets!$U76)/50)*((Calculator!I87-Calculator!K$9)*10000)+Volatilities_Resets!$U76)),IF(I87&gt;=K$8,IF(I87&lt;L$8,(((Volatilities_Resets!$U76-Volatilities_Resets!$S76)/50)*((Calculator!I87-Calculator!K$8)*10000)+Volatilities_Resets!$S76)),IF(I87&gt;=K$7,IF(I87&lt;L$7,(((Volatilities_Resets!$S76-Volatilities_Resets!$Q76)/50)*((Calculator!I87-Calculator!K$7)*10000)+Volatilities_Resets!$Q76)),IF(I87&gt;=K$6,IF(I87&lt;L$6,(((Volatilities_Resets!$Q76-Volatilities_Resets!$O76)/50)*((Calculator!I87-Calculator!K$6)*10000)+Volatilities_Resets!$O76)),IF(I87&gt;=K$5,IF(I87&lt;L$5,(((Volatilities_Resets!$O76-Volatilities_Resets!$M76)/50)*((Calculator!I87-Calculator!K$5)*10000)+Volatilities_Resets!$M76)),IF(I87&gt;=K$4,IF(I87&lt;L$4,(((Volatilities_Resets!$M76-Volatilities_Resets!$K76)/50)*((Calculator!I87-Calculator!K$4)*10000)+Volatilities_Resets!$K76)),IF(I87&gt;=K$3,IF(I87&lt;L$3,(((Volatilities_Resets!$K76-Volatilities_Resets!$I76)/50)*((Calculator!I87-Calculator!K$3)*10000)+Volatilities_Resets!$I76)),IF(I87&gt;=K$2,IF(I87&lt;L$2,(((Volatilities_Resets!$I76-Volatilities_Resets!$G76)/50)*((Calculator!I87-Calculator!K$2)*10000)+Volatilities_Resets!$G76)),"Well, something broke...")))))))))))/10000</f>
        <v>1.1159000000000001E-2</v>
      </c>
      <c r="L87" s="47">
        <f t="shared" ca="1" si="71"/>
        <v>29244.987838671463</v>
      </c>
      <c r="M87" s="63">
        <f t="shared" ca="1" si="72"/>
        <v>1.1764069237844457E-3</v>
      </c>
      <c r="N87" s="63">
        <f t="shared" ca="1" si="55"/>
        <v>2470685.2412469713</v>
      </c>
      <c r="Q87" s="63">
        <f t="shared" ca="1" si="73"/>
        <v>135.71861490963144</v>
      </c>
      <c r="R87" s="63">
        <f ca="1">SUM($Q$15:Q87)</f>
        <v>7291.0181668927771</v>
      </c>
      <c r="T87" s="52">
        <f ca="1">EXP(-AVERAGE(J$15:J87)*G87)</f>
        <v>0.82161458138364762</v>
      </c>
      <c r="U87" s="57"/>
      <c r="V87" s="52">
        <f t="shared" ca="1" si="74"/>
        <v>73</v>
      </c>
      <c r="W87" s="71">
        <f t="shared" ca="1" si="75"/>
        <v>47200</v>
      </c>
      <c r="X87" s="71">
        <f t="shared" ca="1" si="57"/>
        <v>47231</v>
      </c>
      <c r="Y87" s="72">
        <f t="shared" ca="1" si="58"/>
        <v>31</v>
      </c>
      <c r="Z87" s="73">
        <f ca="1">SUM(Y$15:Y87)/360</f>
        <v>6.1749999999999998</v>
      </c>
      <c r="AA87" s="74">
        <f t="shared" si="59"/>
        <v>25000000</v>
      </c>
      <c r="AB87" s="59">
        <f t="shared" si="76"/>
        <v>0.03</v>
      </c>
      <c r="AC87" s="57">
        <f>Volatilities_Resets!$E76*0.01</f>
        <v>2.9624100000000004E-2</v>
      </c>
      <c r="AD87" s="61">
        <f>IF(AB87=AE$11,Volatilities_Resets!$AA76,IF(AB87&gt;=AD$11,IF(AB87&lt;AE$11,(((Volatilities_Resets!$AA76-Volatilities_Resets!$Y76)/50)*((Calculator!AB87-Calculator!AD$11)*10000)+Volatilities_Resets!$Y76)),IF(AB87&gt;=AD$10,IF(AB87&lt;AE$10,(((Volatilities_Resets!$Y76-Volatilities_Resets!$W76)/50)*((Calculator!AB87-Calculator!AD$10)*10000)+Volatilities_Resets!$W76)),IF(AB87&gt;=AD$9,IF(AB87&lt;AE$9,(((Volatilities_Resets!$W76-Volatilities_Resets!$U76)/50)*((Calculator!AB87-Calculator!AD$9)*10000)+Volatilities_Resets!$U76)),IF(AB87&gt;=AD$8,IF(AB87&lt;AE$8,(((Volatilities_Resets!$U76-Volatilities_Resets!$S76)/50)*((Calculator!AB87-Calculator!AD$8)*10000)+Volatilities_Resets!$S76)),IF(AB87&gt;=AD$7,IF(AB87&lt;AE$7,(((Volatilities_Resets!$S76-Volatilities_Resets!$Q76)/50)*((Calculator!AB87-Calculator!AD$7)*10000)+Volatilities_Resets!$Q76)),IF(AB87&gt;=AD$6,IF(AB87&lt;AE$6,(((Volatilities_Resets!$Q76-Volatilities_Resets!$O76)/50)*((Calculator!AB87-Calculator!AD$6)*10000)+Volatilities_Resets!$O76)),IF(AB87&gt;=AD$5,IF(AB87&lt;AE$5,(((Volatilities_Resets!$O76-Volatilities_Resets!$M76)/50)*((Calculator!AB87-Calculator!AD$5)*10000)+Volatilities_Resets!$M76)),IF(AB87&gt;=AD$4,IF(AB87&lt;AE$4,(((Volatilities_Resets!$M76-Volatilities_Resets!$K76)/50)*((Calculator!AB87-Calculator!AD$4)*10000)+Volatilities_Resets!$K76)),IF(AB87&gt;=AD$3,IF(AB87&lt;AE$3,(((Volatilities_Resets!$K76-Volatilities_Resets!$I76)/50)*((Calculator!AB87-Calculator!AD$3)*10000)+Volatilities_Resets!$I76)),IF(AB87&gt;=AD$2,IF(AB87&lt;AE$2,(((Volatilities_Resets!$I76-Volatilities_Resets!$G76)/50)*((Calculator!AB87-Calculator!AD$2)*10000)+Volatilities_Resets!$G76)),"Well, something broke...")))))))))))/10000</f>
        <v>1.1140000000000001E-2</v>
      </c>
      <c r="AE87" s="63">
        <f t="shared" ca="1" si="77"/>
        <v>19202.909083707982</v>
      </c>
      <c r="AF87" s="63">
        <f t="shared" ca="1" si="78"/>
        <v>7.7512956286955874E-4</v>
      </c>
      <c r="AG87" s="63">
        <f t="shared" ca="1" si="97"/>
        <v>1629054.045809652</v>
      </c>
      <c r="AJ87" s="63">
        <f t="shared" ca="1" si="79"/>
        <v>144.05367472007816</v>
      </c>
      <c r="AK87" s="63">
        <f ca="1">SUM($AJ$15:AJ87)</f>
        <v>7849.1121387751737</v>
      </c>
      <c r="AM87" s="52">
        <f ca="1">EXP(-AVERAGE(AC$15:AC87)*Z87)</f>
        <v>0.82161458138364762</v>
      </c>
      <c r="AO87" s="52">
        <f t="shared" ca="1" si="80"/>
        <v>73</v>
      </c>
      <c r="AP87" s="71">
        <f t="shared" ca="1" si="81"/>
        <v>47200</v>
      </c>
      <c r="AQ87" s="71">
        <f t="shared" ca="1" si="60"/>
        <v>47231</v>
      </c>
      <c r="AR87" s="72">
        <f t="shared" ca="1" si="61"/>
        <v>31</v>
      </c>
      <c r="AS87" s="73">
        <f ca="1">SUM(AR$15:AR87)/360</f>
        <v>6.1749999999999998</v>
      </c>
      <c r="AT87" s="74">
        <f t="shared" si="62"/>
        <v>25000000</v>
      </c>
      <c r="AU87" s="59">
        <f t="shared" si="82"/>
        <v>0.04</v>
      </c>
      <c r="AV87" s="57">
        <f>Volatilities_Resets!$E76*0.01</f>
        <v>2.9624100000000004E-2</v>
      </c>
      <c r="AW87" s="61">
        <f>IF(AU87=AX$11,Volatilities_Resets!$AA76,IF(AU87&gt;=AW$11,IF(AU87&lt;AX$11,(((Volatilities_Resets!$AA76-Volatilities_Resets!$Y76)/50)*((Calculator!AU87-Calculator!AW$11)*10000)+Volatilities_Resets!$Y76)),IF(AU87&gt;=AW$10,IF(AU87&lt;AX$10,(((Volatilities_Resets!$Y76-Volatilities_Resets!$W76)/50)*((Calculator!AU87-Calculator!AW$10)*10000)+Volatilities_Resets!$W76)),IF(AU87&gt;=AW$9,IF(AU87&lt;AX$9,(((Volatilities_Resets!$W76-Volatilities_Resets!$U76)/50)*((Calculator!AU87-Calculator!AW$9)*10000)+Volatilities_Resets!$U76)),IF(AU87&gt;=AW$8,IF(AU87&lt;AX$8,(((Volatilities_Resets!$U76-Volatilities_Resets!$S76)/50)*((Calculator!AU87-Calculator!AW$8)*10000)+Volatilities_Resets!$S76)),IF(AU87&gt;=AW$7,IF(AU87&lt;AX$7,(((Volatilities_Resets!$S76-Volatilities_Resets!$Q76)/50)*((Calculator!AU87-Calculator!AW$7)*10000)+Volatilities_Resets!$Q76)),IF(AU87&gt;=AW$6,IF(AU87&lt;AX$6,(((Volatilities_Resets!$Q76-Volatilities_Resets!$O76)/50)*((Calculator!AU87-Calculator!AW$6)*10000)+Volatilities_Resets!$O76)),IF(AU87&gt;=AW$5,IF(AU87&lt;AX$5,(((Volatilities_Resets!$O76-Volatilities_Resets!$M76)/50)*((Calculator!AU87-Calculator!AW$5)*10000)+Volatilities_Resets!$M76)),IF(AU87&gt;=AW$4,IF(AU87&lt;AX$4,(((Volatilities_Resets!$M76-Volatilities_Resets!$K76)/50)*((Calculator!AU87-Calculator!AW$4)*10000)+Volatilities_Resets!$K76)),IF(AU87&gt;=AW$3,IF(AU87&lt;AX$3,(((Volatilities_Resets!$K76-Volatilities_Resets!$I76)/50)*((Calculator!AU87-Calculator!AW$3)*10000)+Volatilities_Resets!$I76)),IF(AU87&gt;=AW$2,IF(AU87&lt;AX$2,(((Volatilities_Resets!$I76-Volatilities_Resets!$G76)/50)*((Calculator!AU87-Calculator!AW$2)*10000)+Volatilities_Resets!$G76)),"Well, something broke...")))))))))))/10000</f>
        <v>1.1601E-2</v>
      </c>
      <c r="AX87" s="63">
        <f t="shared" ca="1" si="83"/>
        <v>12469.247688238172</v>
      </c>
      <c r="AY87" s="63">
        <f t="shared" ca="1" si="84"/>
        <v>5.0534748197770738E-4</v>
      </c>
      <c r="AZ87" s="63">
        <f t="shared" ca="1" si="98"/>
        <v>1002789.9433350883</v>
      </c>
      <c r="BC87" s="63">
        <f t="shared" ca="1" si="63"/>
        <v>135.10577691903885</v>
      </c>
      <c r="BD87" s="63">
        <f ca="1">SUM($BC$15:BC87)</f>
        <v>7479.3422156615125</v>
      </c>
      <c r="BF87" s="52">
        <f ca="1">EXP(-AVERAGE(AV$15:AV87)*AS87)</f>
        <v>0.82161458138364762</v>
      </c>
      <c r="BH87" s="52">
        <f t="shared" ca="1" si="85"/>
        <v>73</v>
      </c>
      <c r="BI87" s="71">
        <f t="shared" ca="1" si="86"/>
        <v>47200</v>
      </c>
      <c r="BJ87" s="71">
        <f t="shared" ca="1" si="64"/>
        <v>47231</v>
      </c>
      <c r="BK87" s="72">
        <f t="shared" ca="1" si="65"/>
        <v>31</v>
      </c>
      <c r="BL87" s="73">
        <f ca="1">SUM(BK$15:BK87)/360</f>
        <v>6.1749999999999998</v>
      </c>
      <c r="BM87" s="74">
        <f t="shared" si="66"/>
        <v>25000000</v>
      </c>
      <c r="BN87" s="59">
        <f t="shared" si="87"/>
        <v>0.05</v>
      </c>
      <c r="BO87" s="57">
        <f>Volatilities_Resets!$E76*0.01</f>
        <v>2.9624100000000004E-2</v>
      </c>
      <c r="BP87" s="61">
        <f>IF(BN87=BQ$11,Volatilities_Resets!$AA76,IF(BN87&gt;=BP$11,IF(BN87&lt;BQ$11,(((Volatilities_Resets!$AA76-Volatilities_Resets!$Y76)/50)*((Calculator!BN87-Calculator!BP$11)*10000)+Volatilities_Resets!$Y76)),IF(BN87&gt;=BP$10,IF(BN87&lt;BQ$10,(((Volatilities_Resets!$Y76-Volatilities_Resets!$W76)/50)*((Calculator!BN87-Calculator!BP$10)*10000)+Volatilities_Resets!$W76)),IF(BN87&gt;=BP$9,IF(BN87&lt;BQ$9,(((Volatilities_Resets!$W76-Volatilities_Resets!$U76)/50)*((Calculator!BN87-Calculator!BP$9)*10000)+Volatilities_Resets!$U76)),IF(BN87&gt;=BP$8,IF(BN87&lt;BQ$8,(((Volatilities_Resets!$U76-Volatilities_Resets!$S76)/50)*((Calculator!BN87-Calculator!BP$8)*10000)+Volatilities_Resets!$S76)),IF(BN87&gt;=BP$7,IF(BN87&lt;BQ$7,(((Volatilities_Resets!$S76-Volatilities_Resets!$Q76)/50)*((Calculator!BN87-Calculator!BP$7)*10000)+Volatilities_Resets!$Q76)),IF(BN87&gt;=BP$6,IF(BN87&lt;BQ$6,(((Volatilities_Resets!$Q76-Volatilities_Resets!$O76)/50)*((Calculator!BN87-Calculator!BP$6)*10000)+Volatilities_Resets!$O76)),IF(BN87&gt;=BP$5,IF(BN87&lt;BQ$5,(((Volatilities_Resets!$O76-Volatilities_Resets!$M76)/50)*((Calculator!BN87-Calculator!BP$5)*10000)+Volatilities_Resets!$M76)),IF(BN87&gt;=BP$4,IF(BN87&lt;BQ$4,(((Volatilities_Resets!$M76-Volatilities_Resets!$K76)/50)*((Calculator!BN87-Calculator!BP$4)*10000)+Volatilities_Resets!$K76)),IF(BN87&gt;=BP$3,IF(BN87&lt;BQ$3,(((Volatilities_Resets!$K76-Volatilities_Resets!$I76)/50)*((Calculator!BN87-Calculator!BP$3)*10000)+Volatilities_Resets!$I76)),IF(BN87&gt;=BP$2,IF(BN87&lt;BQ$2,(((Volatilities_Resets!$I76-Volatilities_Resets!$G76)/50)*((Calculator!BN87-Calculator!BP$2)*10000)+Volatilities_Resets!$G76)),"Well, something broke...")))))))))))/10000</f>
        <v>1.2476000000000001E-2</v>
      </c>
      <c r="BQ87" s="63">
        <f t="shared" ca="1" si="88"/>
        <v>8418.0286487456415</v>
      </c>
      <c r="BR87" s="63">
        <f t="shared" ca="1" si="89"/>
        <v>3.4238226796523921E-4</v>
      </c>
      <c r="BS87" s="63">
        <f t="shared" ca="1" si="99"/>
        <v>574524.92155412561</v>
      </c>
      <c r="BV87" s="63">
        <f t="shared" ca="1" si="90"/>
        <v>116.28150987139436</v>
      </c>
      <c r="BW87" s="63">
        <f ca="1">SUM($BV$15:BV87)</f>
        <v>6427.2140806624657</v>
      </c>
      <c r="BY87" s="52">
        <f ca="1">EXP(-AVERAGE(BO$15:BO87)*BL87)</f>
        <v>0.82161458138364762</v>
      </c>
      <c r="CA87" s="52">
        <f t="shared" ca="1" si="91"/>
        <v>73</v>
      </c>
      <c r="CB87" s="71">
        <f t="shared" ca="1" si="92"/>
        <v>47200</v>
      </c>
      <c r="CC87" s="71">
        <f t="shared" ca="1" si="67"/>
        <v>47231</v>
      </c>
      <c r="CD87" s="72">
        <f t="shared" ca="1" si="68"/>
        <v>31</v>
      </c>
      <c r="CE87" s="73">
        <f ca="1">SUM(CD$15:CD87)/360</f>
        <v>6.1749999999999998</v>
      </c>
      <c r="CF87" s="74">
        <f t="shared" si="69"/>
        <v>25000000</v>
      </c>
      <c r="CG87" s="59">
        <f t="shared" si="93"/>
        <v>0.06</v>
      </c>
      <c r="CH87" s="57">
        <f>Volatilities_Resets!$E76*0.01</f>
        <v>2.9624100000000004E-2</v>
      </c>
      <c r="CI87" s="61">
        <f>IF(CG87=CJ$11,Volatilities_Resets!$AA76,IF(CG87&gt;=CI$11,IF(CG87&lt;CJ$11,(((Volatilities_Resets!$AA76-Volatilities_Resets!$Y76)/50)*((Calculator!CG87-Calculator!CI$11)*10000)+Volatilities_Resets!$Y76)),IF(CG87&gt;=CI$10,IF(CG87&lt;CJ$10,(((Volatilities_Resets!$Y76-Volatilities_Resets!$W76)/50)*((Calculator!CG87-Calculator!CI$10)*10000)+Volatilities_Resets!$W76)),IF(CG87&gt;=CI$9,IF(CG87&lt;CJ$9,(((Volatilities_Resets!$W76-Volatilities_Resets!$U76)/50)*((Calculator!CG87-Calculator!CI$9)*10000)+Volatilities_Resets!$U76)),IF(CG87&gt;=CI$8,IF(CG87&lt;CJ$8,(((Volatilities_Resets!$U76-Volatilities_Resets!$S76)/50)*((Calculator!CG87-Calculator!CI$8)*10000)+Volatilities_Resets!$S76)),IF(CG87&gt;=CI$7,IF(CG87&lt;CJ$7,(((Volatilities_Resets!$S76-Volatilities_Resets!$Q76)/50)*((Calculator!CG87-Calculator!CI$7)*10000)+Volatilities_Resets!$Q76)),IF(CG87&gt;=CI$6,IF(CG87&lt;CJ$6,(((Volatilities_Resets!$Q76-Volatilities_Resets!$O76)/50)*((Calculator!CG87-Calculator!CI$6)*10000)+Volatilities_Resets!$O76)),IF(CG87&gt;=CI$5,IF(CG87&lt;CJ$5,(((Volatilities_Resets!$O76-Volatilities_Resets!$M76)/50)*((Calculator!CG87-Calculator!CI$5)*10000)+Volatilities_Resets!$M76)),IF(CG87&gt;=CI$4,IF(CG87&lt;CJ$4,(((Volatilities_Resets!$M76-Volatilities_Resets!$K76)/50)*((Calculator!CG87-Calculator!CI$4)*10000)+Volatilities_Resets!$K76)),IF(CG87&gt;=CI$3,IF(CG87&lt;CJ$3,(((Volatilities_Resets!$K76-Volatilities_Resets!$I76)/50)*((Calculator!CG87-Calculator!CI$3)*10000)+Volatilities_Resets!$I76)),IF(CG87&gt;=CI$2,IF(CG87&lt;CJ$2,(((Volatilities_Resets!$I76-Volatilities_Resets!$G76)/50)*((Calculator!CG87-Calculator!CI$2)*10000)+Volatilities_Resets!$G76)),"Well, something broke...")))))))))))/10000</f>
        <v>1.3605000000000001E-2</v>
      </c>
      <c r="CJ87" s="63">
        <f t="shared" ca="1" si="94"/>
        <v>6022.2127798913607</v>
      </c>
      <c r="CK87" s="63">
        <f t="shared" ca="1" si="95"/>
        <v>2.4558677000983471E-4</v>
      </c>
      <c r="CL87" s="63">
        <f t="shared" ca="1" si="100"/>
        <v>350111.41580349579</v>
      </c>
      <c r="CO87" s="63">
        <f t="shared" ca="1" si="96"/>
        <v>96.503948721118803</v>
      </c>
      <c r="CP87" s="63">
        <f ca="1">SUM($CO$15:CO87)</f>
        <v>5034.6499216301845</v>
      </c>
      <c r="CR87" s="52">
        <f ca="1">EXP(-AVERAGE(CH$15:CH87)*CE87)</f>
        <v>0.82161458138364762</v>
      </c>
      <c r="CT87"/>
      <c r="CU87"/>
      <c r="CV87"/>
      <c r="CW87"/>
      <c r="CX87"/>
      <c r="CY87"/>
      <c r="CZ87"/>
      <c r="DA87"/>
      <c r="DB87"/>
      <c r="DC87"/>
      <c r="DD87"/>
      <c r="DE87"/>
      <c r="DF87"/>
      <c r="DG87"/>
      <c r="DH87"/>
      <c r="DI87"/>
      <c r="DJ87"/>
      <c r="DK87"/>
      <c r="DL87"/>
    </row>
    <row r="88" spans="2:116" ht="15.75" customHeight="1">
      <c r="B88" s="52">
        <v>7</v>
      </c>
      <c r="C88" s="52">
        <f t="shared" ca="1" si="52"/>
        <v>74</v>
      </c>
      <c r="D88" s="71">
        <f t="shared" ca="1" si="70"/>
        <v>47231</v>
      </c>
      <c r="E88" s="71">
        <f t="shared" ca="1" si="53"/>
        <v>47261</v>
      </c>
      <c r="F88" s="72">
        <f t="shared" ca="1" si="54"/>
        <v>30</v>
      </c>
      <c r="G88" s="73">
        <f ca="1">SUM($F$15:F88)/360</f>
        <v>6.2583333333333337</v>
      </c>
      <c r="H88" s="74">
        <f t="shared" si="56"/>
        <v>25000000</v>
      </c>
      <c r="I88" s="59">
        <f>IF('Cap Pricer'!$E$22=DataValidation!$C$2,'Cap Pricer'!$E$23,IF('Cap Pricer'!$E$22=DataValidation!$C$3,VLOOKUP($B88,'Cap Pricer'!$C$25:$E$31,3),""))</f>
        <v>0.02</v>
      </c>
      <c r="J88" s="57">
        <f>Volatilities_Resets!$E77*0.01</f>
        <v>2.9649600000000002E-2</v>
      </c>
      <c r="K88" s="61">
        <f>IF(I88=L$11,Volatilities_Resets!$AA77,IF(I88&gt;=K$11,IF(I88&lt;L$11,(((Volatilities_Resets!$AA77-Volatilities_Resets!$Y77)/50)*((Calculator!I88-Calculator!K$11)*10000)+Volatilities_Resets!$Y77)),IF(I88&gt;=K$10,IF(I88&lt;L$10,(((Volatilities_Resets!$Y77-Volatilities_Resets!$W77)/50)*((Calculator!I88-Calculator!K$10)*10000)+Volatilities_Resets!$W77)),IF(I88&gt;=K$9,IF(I88&lt;L$9,(((Volatilities_Resets!$W77-Volatilities_Resets!$U77)/50)*((Calculator!I88-Calculator!K$9)*10000)+Volatilities_Resets!$U77)),IF(I88&gt;=K$8,IF(I88&lt;L$8,(((Volatilities_Resets!$U77-Volatilities_Resets!$S77)/50)*((Calculator!I88-Calculator!K$8)*10000)+Volatilities_Resets!$S77)),IF(I88&gt;=K$7,IF(I88&lt;L$7,(((Volatilities_Resets!$S77-Volatilities_Resets!$Q77)/50)*((Calculator!I88-Calculator!K$7)*10000)+Volatilities_Resets!$Q77)),IF(I88&gt;=K$6,IF(I88&lt;L$6,(((Volatilities_Resets!$Q77-Volatilities_Resets!$O77)/50)*((Calculator!I88-Calculator!K$6)*10000)+Volatilities_Resets!$O77)),IF(I88&gt;=K$5,IF(I88&lt;L$5,(((Volatilities_Resets!$O77-Volatilities_Resets!$M77)/50)*((Calculator!I88-Calculator!K$5)*10000)+Volatilities_Resets!$M77)),IF(I88&gt;=K$4,IF(I88&lt;L$4,(((Volatilities_Resets!$M77-Volatilities_Resets!$K77)/50)*((Calculator!I88-Calculator!K$4)*10000)+Volatilities_Resets!$K77)),IF(I88&gt;=K$3,IF(I88&lt;L$3,(((Volatilities_Resets!$K77-Volatilities_Resets!$I77)/50)*((Calculator!I88-Calculator!K$3)*10000)+Volatilities_Resets!$I77)),IF(I88&gt;=K$2,IF(I88&lt;L$2,(((Volatilities_Resets!$I77-Volatilities_Resets!$G77)/50)*((Calculator!I88-Calculator!K$2)*10000)+Volatilities_Resets!$G77)),"Well, something broke...")))))))))))/10000</f>
        <v>1.1159000000000001E-2</v>
      </c>
      <c r="L88" s="47">
        <f t="shared" ca="1" si="71"/>
        <v>28379.137571991072</v>
      </c>
      <c r="M88" s="63">
        <f t="shared" ca="1" si="72"/>
        <v>1.1415900021011078E-3</v>
      </c>
      <c r="N88" s="63">
        <f t="shared" ca="1" si="55"/>
        <v>2499064.3788189623</v>
      </c>
      <c r="Q88" s="63">
        <f t="shared" ca="1" si="73"/>
        <v>131.63626160913608</v>
      </c>
      <c r="R88" s="63">
        <f ca="1">SUM($Q$15:Q88)</f>
        <v>7422.6544285019136</v>
      </c>
      <c r="T88" s="52">
        <f ca="1">EXP(-AVERAGE(J$15:J88)*G88)</f>
        <v>0.81958924467966288</v>
      </c>
      <c r="U88" s="57"/>
      <c r="V88" s="52">
        <f t="shared" ca="1" si="74"/>
        <v>74</v>
      </c>
      <c r="W88" s="71">
        <f t="shared" ca="1" si="75"/>
        <v>47231</v>
      </c>
      <c r="X88" s="71">
        <f t="shared" ca="1" si="57"/>
        <v>47261</v>
      </c>
      <c r="Y88" s="72">
        <f t="shared" ca="1" si="58"/>
        <v>30</v>
      </c>
      <c r="Z88" s="73">
        <f ca="1">SUM(Y$15:Y88)/360</f>
        <v>6.2583333333333337</v>
      </c>
      <c r="AA88" s="74">
        <f t="shared" si="59"/>
        <v>25000000</v>
      </c>
      <c r="AB88" s="59">
        <f t="shared" si="76"/>
        <v>0.03</v>
      </c>
      <c r="AC88" s="57">
        <f>Volatilities_Resets!$E77*0.01</f>
        <v>2.9649600000000002E-2</v>
      </c>
      <c r="AD88" s="61">
        <f>IF(AB88=AE$11,Volatilities_Resets!$AA77,IF(AB88&gt;=AD$11,IF(AB88&lt;AE$11,(((Volatilities_Resets!$AA77-Volatilities_Resets!$Y77)/50)*((Calculator!AB88-Calculator!AD$11)*10000)+Volatilities_Resets!$Y77)),IF(AB88&gt;=AD$10,IF(AB88&lt;AE$10,(((Volatilities_Resets!$Y77-Volatilities_Resets!$W77)/50)*((Calculator!AB88-Calculator!AD$10)*10000)+Volatilities_Resets!$W77)),IF(AB88&gt;=AD$9,IF(AB88&lt;AE$9,(((Volatilities_Resets!$W77-Volatilities_Resets!$U77)/50)*((Calculator!AB88-Calculator!AD$9)*10000)+Volatilities_Resets!$U77)),IF(AB88&gt;=AD$8,IF(AB88&lt;AE$8,(((Volatilities_Resets!$U77-Volatilities_Resets!$S77)/50)*((Calculator!AB88-Calculator!AD$8)*10000)+Volatilities_Resets!$S77)),IF(AB88&gt;=AD$7,IF(AB88&lt;AE$7,(((Volatilities_Resets!$S77-Volatilities_Resets!$Q77)/50)*((Calculator!AB88-Calculator!AD$7)*10000)+Volatilities_Resets!$Q77)),IF(AB88&gt;=AD$6,IF(AB88&lt;AE$6,(((Volatilities_Resets!$Q77-Volatilities_Resets!$O77)/50)*((Calculator!AB88-Calculator!AD$6)*10000)+Volatilities_Resets!$O77)),IF(AB88&gt;=AD$5,IF(AB88&lt;AE$5,(((Volatilities_Resets!$O77-Volatilities_Resets!$M77)/50)*((Calculator!AB88-Calculator!AD$5)*10000)+Volatilities_Resets!$M77)),IF(AB88&gt;=AD$4,IF(AB88&lt;AE$4,(((Volatilities_Resets!$M77-Volatilities_Resets!$K77)/50)*((Calculator!AB88-Calculator!AD$4)*10000)+Volatilities_Resets!$K77)),IF(AB88&gt;=AD$3,IF(AB88&lt;AE$3,(((Volatilities_Resets!$K77-Volatilities_Resets!$I77)/50)*((Calculator!AB88-Calculator!AD$3)*10000)+Volatilities_Resets!$I77)),IF(AB88&gt;=AD$2,IF(AB88&lt;AE$2,(((Volatilities_Resets!$I77-Volatilities_Resets!$G77)/50)*((Calculator!AB88-Calculator!AD$2)*10000)+Volatilities_Resets!$G77)),"Well, something broke...")))))))))))/10000</f>
        <v>1.1140000000000001E-2</v>
      </c>
      <c r="AE88" s="63">
        <f t="shared" ca="1" si="77"/>
        <v>18685.995953317281</v>
      </c>
      <c r="AF88" s="63">
        <f t="shared" ca="1" si="78"/>
        <v>7.5425569391999157E-4</v>
      </c>
      <c r="AG88" s="63">
        <f t="shared" ca="1" si="97"/>
        <v>1647740.0417629692</v>
      </c>
      <c r="AJ88" s="63">
        <f t="shared" ca="1" si="79"/>
        <v>139.65505241397543</v>
      </c>
      <c r="AK88" s="63">
        <f ca="1">SUM($AJ$15:AJ88)</f>
        <v>7988.7671911891493</v>
      </c>
      <c r="AM88" s="52">
        <f ca="1">EXP(-AVERAGE(AC$15:AC88)*Z88)</f>
        <v>0.81958924467966288</v>
      </c>
      <c r="AO88" s="52">
        <f t="shared" ca="1" si="80"/>
        <v>74</v>
      </c>
      <c r="AP88" s="71">
        <f t="shared" ca="1" si="81"/>
        <v>47231</v>
      </c>
      <c r="AQ88" s="71">
        <f t="shared" ca="1" si="60"/>
        <v>47261</v>
      </c>
      <c r="AR88" s="72">
        <f t="shared" ca="1" si="61"/>
        <v>30</v>
      </c>
      <c r="AS88" s="73">
        <f ca="1">SUM(AR$15:AR88)/360</f>
        <v>6.2583333333333337</v>
      </c>
      <c r="AT88" s="74">
        <f t="shared" si="62"/>
        <v>25000000</v>
      </c>
      <c r="AU88" s="59">
        <f t="shared" si="82"/>
        <v>0.04</v>
      </c>
      <c r="AV88" s="57">
        <f>Volatilities_Resets!$E77*0.01</f>
        <v>2.9649600000000002E-2</v>
      </c>
      <c r="AW88" s="61">
        <f>IF(AU88=AX$11,Volatilities_Resets!$AA77,IF(AU88&gt;=AW$11,IF(AU88&lt;AX$11,(((Volatilities_Resets!$AA77-Volatilities_Resets!$Y77)/50)*((Calculator!AU88-Calculator!AW$11)*10000)+Volatilities_Resets!$Y77)),IF(AU88&gt;=AW$10,IF(AU88&lt;AX$10,(((Volatilities_Resets!$Y77-Volatilities_Resets!$W77)/50)*((Calculator!AU88-Calculator!AW$10)*10000)+Volatilities_Resets!$W77)),IF(AU88&gt;=AW$9,IF(AU88&lt;AX$9,(((Volatilities_Resets!$W77-Volatilities_Resets!$U77)/50)*((Calculator!AU88-Calculator!AW$9)*10000)+Volatilities_Resets!$U77)),IF(AU88&gt;=AW$8,IF(AU88&lt;AX$8,(((Volatilities_Resets!$U77-Volatilities_Resets!$S77)/50)*((Calculator!AU88-Calculator!AW$8)*10000)+Volatilities_Resets!$S77)),IF(AU88&gt;=AW$7,IF(AU88&lt;AX$7,(((Volatilities_Resets!$S77-Volatilities_Resets!$Q77)/50)*((Calculator!AU88-Calculator!AW$7)*10000)+Volatilities_Resets!$Q77)),IF(AU88&gt;=AW$6,IF(AU88&lt;AX$6,(((Volatilities_Resets!$Q77-Volatilities_Resets!$O77)/50)*((Calculator!AU88-Calculator!AW$6)*10000)+Volatilities_Resets!$O77)),IF(AU88&gt;=AW$5,IF(AU88&lt;AX$5,(((Volatilities_Resets!$O77-Volatilities_Resets!$M77)/50)*((Calculator!AU88-Calculator!AW$5)*10000)+Volatilities_Resets!$M77)),IF(AU88&gt;=AW$4,IF(AU88&lt;AX$4,(((Volatilities_Resets!$M77-Volatilities_Resets!$K77)/50)*((Calculator!AU88-Calculator!AW$4)*10000)+Volatilities_Resets!$K77)),IF(AU88&gt;=AW$3,IF(AU88&lt;AX$3,(((Volatilities_Resets!$K77-Volatilities_Resets!$I77)/50)*((Calculator!AU88-Calculator!AW$3)*10000)+Volatilities_Resets!$I77)),IF(AU88&gt;=AW$2,IF(AU88&lt;AX$2,(((Volatilities_Resets!$I77-Volatilities_Resets!$G77)/50)*((Calculator!AU88-Calculator!AW$2)*10000)+Volatilities_Resets!$G77)),"Well, something broke...")))))))))))/10000</f>
        <v>1.1601E-2</v>
      </c>
      <c r="AX88" s="63">
        <f t="shared" ca="1" si="83"/>
        <v>12176.796221392709</v>
      </c>
      <c r="AY88" s="63">
        <f t="shared" ca="1" si="84"/>
        <v>4.9347171333333196E-4</v>
      </c>
      <c r="AZ88" s="63">
        <f t="shared" ca="1" si="98"/>
        <v>1014966.739556481</v>
      </c>
      <c r="BC88" s="63">
        <f t="shared" ca="1" si="63"/>
        <v>131.13150233169284</v>
      </c>
      <c r="BD88" s="63">
        <f ca="1">SUM($BC$15:BC88)</f>
        <v>7610.4737179932054</v>
      </c>
      <c r="BF88" s="52">
        <f ca="1">EXP(-AVERAGE(AV$15:AV88)*AS88)</f>
        <v>0.81958924467966288</v>
      </c>
      <c r="BH88" s="52">
        <f t="shared" ca="1" si="85"/>
        <v>74</v>
      </c>
      <c r="BI88" s="71">
        <f t="shared" ca="1" si="86"/>
        <v>47231</v>
      </c>
      <c r="BJ88" s="71">
        <f t="shared" ca="1" si="64"/>
        <v>47261</v>
      </c>
      <c r="BK88" s="72">
        <f t="shared" ca="1" si="65"/>
        <v>30</v>
      </c>
      <c r="BL88" s="73">
        <f ca="1">SUM(BK$15:BK88)/360</f>
        <v>6.2583333333333337</v>
      </c>
      <c r="BM88" s="74">
        <f t="shared" si="66"/>
        <v>25000000</v>
      </c>
      <c r="BN88" s="59">
        <f t="shared" si="87"/>
        <v>0.05</v>
      </c>
      <c r="BO88" s="57">
        <f>Volatilities_Resets!$E77*0.01</f>
        <v>2.9649600000000002E-2</v>
      </c>
      <c r="BP88" s="61">
        <f>IF(BN88=BQ$11,Volatilities_Resets!$AA77,IF(BN88&gt;=BP$11,IF(BN88&lt;BQ$11,(((Volatilities_Resets!$AA77-Volatilities_Resets!$Y77)/50)*((Calculator!BN88-Calculator!BP$11)*10000)+Volatilities_Resets!$Y77)),IF(BN88&gt;=BP$10,IF(BN88&lt;BQ$10,(((Volatilities_Resets!$Y77-Volatilities_Resets!$W77)/50)*((Calculator!BN88-Calculator!BP$10)*10000)+Volatilities_Resets!$W77)),IF(BN88&gt;=BP$9,IF(BN88&lt;BQ$9,(((Volatilities_Resets!$W77-Volatilities_Resets!$U77)/50)*((Calculator!BN88-Calculator!BP$9)*10000)+Volatilities_Resets!$U77)),IF(BN88&gt;=BP$8,IF(BN88&lt;BQ$8,(((Volatilities_Resets!$U77-Volatilities_Resets!$S77)/50)*((Calculator!BN88-Calculator!BP$8)*10000)+Volatilities_Resets!$S77)),IF(BN88&gt;=BP$7,IF(BN88&lt;BQ$7,(((Volatilities_Resets!$S77-Volatilities_Resets!$Q77)/50)*((Calculator!BN88-Calculator!BP$7)*10000)+Volatilities_Resets!$Q77)),IF(BN88&gt;=BP$6,IF(BN88&lt;BQ$6,(((Volatilities_Resets!$Q77-Volatilities_Resets!$O77)/50)*((Calculator!BN88-Calculator!BP$6)*10000)+Volatilities_Resets!$O77)),IF(BN88&gt;=BP$5,IF(BN88&lt;BQ$5,(((Volatilities_Resets!$O77-Volatilities_Resets!$M77)/50)*((Calculator!BN88-Calculator!BP$5)*10000)+Volatilities_Resets!$M77)),IF(BN88&gt;=BP$4,IF(BN88&lt;BQ$4,(((Volatilities_Resets!$M77-Volatilities_Resets!$K77)/50)*((Calculator!BN88-Calculator!BP$4)*10000)+Volatilities_Resets!$K77)),IF(BN88&gt;=BP$3,IF(BN88&lt;BQ$3,(((Volatilities_Resets!$K77-Volatilities_Resets!$I77)/50)*((Calculator!BN88-Calculator!BP$3)*10000)+Volatilities_Resets!$I77)),IF(BN88&gt;=BP$2,IF(BN88&lt;BQ$2,(((Volatilities_Resets!$I77-Volatilities_Resets!$G77)/50)*((Calculator!BN88-Calculator!BP$2)*10000)+Volatilities_Resets!$G77)),"Well, something broke...")))))))))))/10000</f>
        <v>1.2476000000000001E-2</v>
      </c>
      <c r="BQ88" s="63">
        <f t="shared" ca="1" si="88"/>
        <v>8252.1890425191777</v>
      </c>
      <c r="BR88" s="63">
        <f t="shared" ca="1" si="89"/>
        <v>3.3560795185748755E-4</v>
      </c>
      <c r="BS88" s="63">
        <f t="shared" ca="1" si="99"/>
        <v>582777.11059664481</v>
      </c>
      <c r="BV88" s="63">
        <f t="shared" ca="1" si="90"/>
        <v>113.11130997208843</v>
      </c>
      <c r="BW88" s="63">
        <f ca="1">SUM($BV$15:BV88)</f>
        <v>6540.3253906345544</v>
      </c>
      <c r="BY88" s="52">
        <f ca="1">EXP(-AVERAGE(BO$15:BO88)*BL88)</f>
        <v>0.81958924467966288</v>
      </c>
      <c r="CA88" s="52">
        <f t="shared" ca="1" si="91"/>
        <v>74</v>
      </c>
      <c r="CB88" s="71">
        <f t="shared" ca="1" si="92"/>
        <v>47231</v>
      </c>
      <c r="CC88" s="71">
        <f t="shared" ca="1" si="67"/>
        <v>47261</v>
      </c>
      <c r="CD88" s="72">
        <f t="shared" ca="1" si="68"/>
        <v>30</v>
      </c>
      <c r="CE88" s="73">
        <f ca="1">SUM(CD$15:CD88)/360</f>
        <v>6.2583333333333337</v>
      </c>
      <c r="CF88" s="74">
        <f t="shared" si="69"/>
        <v>25000000</v>
      </c>
      <c r="CG88" s="59">
        <f t="shared" si="93"/>
        <v>0.06</v>
      </c>
      <c r="CH88" s="57">
        <f>Volatilities_Resets!$E77*0.01</f>
        <v>2.9649600000000002E-2</v>
      </c>
      <c r="CI88" s="61">
        <f>IF(CG88=CJ$11,Volatilities_Resets!$AA77,IF(CG88&gt;=CI$11,IF(CG88&lt;CJ$11,(((Volatilities_Resets!$AA77-Volatilities_Resets!$Y77)/50)*((Calculator!CG88-Calculator!CI$11)*10000)+Volatilities_Resets!$Y77)),IF(CG88&gt;=CI$10,IF(CG88&lt;CJ$10,(((Volatilities_Resets!$Y77-Volatilities_Resets!$W77)/50)*((Calculator!CG88-Calculator!CI$10)*10000)+Volatilities_Resets!$W77)),IF(CG88&gt;=CI$9,IF(CG88&lt;CJ$9,(((Volatilities_Resets!$W77-Volatilities_Resets!$U77)/50)*((Calculator!CG88-Calculator!CI$9)*10000)+Volatilities_Resets!$U77)),IF(CG88&gt;=CI$8,IF(CG88&lt;CJ$8,(((Volatilities_Resets!$U77-Volatilities_Resets!$S77)/50)*((Calculator!CG88-Calculator!CI$8)*10000)+Volatilities_Resets!$S77)),IF(CG88&gt;=CI$7,IF(CG88&lt;CJ$7,(((Volatilities_Resets!$S77-Volatilities_Resets!$Q77)/50)*((Calculator!CG88-Calculator!CI$7)*10000)+Volatilities_Resets!$Q77)),IF(CG88&gt;=CI$6,IF(CG88&lt;CJ$6,(((Volatilities_Resets!$Q77-Volatilities_Resets!$O77)/50)*((Calculator!CG88-Calculator!CI$6)*10000)+Volatilities_Resets!$O77)),IF(CG88&gt;=CI$5,IF(CG88&lt;CJ$5,(((Volatilities_Resets!$O77-Volatilities_Resets!$M77)/50)*((Calculator!CG88-Calculator!CI$5)*10000)+Volatilities_Resets!$M77)),IF(CG88&gt;=CI$4,IF(CG88&lt;CJ$4,(((Volatilities_Resets!$M77-Volatilities_Resets!$K77)/50)*((Calculator!CG88-Calculator!CI$4)*10000)+Volatilities_Resets!$K77)),IF(CG88&gt;=CI$3,IF(CG88&lt;CJ$3,(((Volatilities_Resets!$K77-Volatilities_Resets!$I77)/50)*((Calculator!CG88-Calculator!CI$3)*10000)+Volatilities_Resets!$I77)),IF(CG88&gt;=CI$2,IF(CG88&lt;CJ$2,(((Volatilities_Resets!$I77-Volatilities_Resets!$G77)/50)*((Calculator!CG88-Calculator!CI$2)*10000)+Volatilities_Resets!$G77)),"Well, something broke...")))))))))))/10000</f>
        <v>1.3606E-2</v>
      </c>
      <c r="CJ88" s="63">
        <f t="shared" ca="1" si="94"/>
        <v>5926.5492087394032</v>
      </c>
      <c r="CK88" s="63">
        <f t="shared" ca="1" si="95"/>
        <v>2.4165570286409263E-4</v>
      </c>
      <c r="CL88" s="63">
        <f t="shared" ca="1" si="100"/>
        <v>356037.96501223522</v>
      </c>
      <c r="CO88" s="63">
        <f t="shared" ca="1" si="96"/>
        <v>94.124385025287154</v>
      </c>
      <c r="CP88" s="63">
        <f ca="1">SUM($CO$15:CO88)</f>
        <v>5128.7743066554713</v>
      </c>
      <c r="CR88" s="52">
        <f ca="1">EXP(-AVERAGE(CH$15:CH88)*CE88)</f>
        <v>0.81958924467966288</v>
      </c>
      <c r="CT88"/>
      <c r="CU88"/>
      <c r="CV88"/>
      <c r="CW88"/>
      <c r="CX88"/>
      <c r="CY88"/>
      <c r="CZ88"/>
      <c r="DA88"/>
      <c r="DB88"/>
      <c r="DC88"/>
      <c r="DD88"/>
      <c r="DE88"/>
      <c r="DF88"/>
      <c r="DG88"/>
      <c r="DH88"/>
      <c r="DI88"/>
      <c r="DJ88"/>
      <c r="DK88"/>
      <c r="DL88"/>
    </row>
    <row r="89" spans="2:116" ht="15.75" customHeight="1">
      <c r="B89" s="52">
        <v>7</v>
      </c>
      <c r="C89" s="52">
        <f t="shared" ca="1" si="52"/>
        <v>75</v>
      </c>
      <c r="D89" s="71">
        <f t="shared" ca="1" si="70"/>
        <v>47261</v>
      </c>
      <c r="E89" s="71">
        <f t="shared" ca="1" si="53"/>
        <v>47292</v>
      </c>
      <c r="F89" s="72">
        <f t="shared" ca="1" si="54"/>
        <v>31</v>
      </c>
      <c r="G89" s="73">
        <f ca="1">SUM($F$15:F89)/360</f>
        <v>6.3444444444444441</v>
      </c>
      <c r="H89" s="74">
        <f t="shared" si="56"/>
        <v>25000000</v>
      </c>
      <c r="I89" s="59">
        <f>IF('Cap Pricer'!$E$22=DataValidation!$C$2,'Cap Pricer'!$E$23,IF('Cap Pricer'!$E$22=DataValidation!$C$3,VLOOKUP($B89,'Cap Pricer'!$C$25:$E$31,3),""))</f>
        <v>0.02</v>
      </c>
      <c r="J89" s="57">
        <f>Volatilities_Resets!$E78*0.01</f>
        <v>2.9650800000000001E-2</v>
      </c>
      <c r="K89" s="61">
        <f>IF(I89=L$11,Volatilities_Resets!$AA78,IF(I89&gt;=K$11,IF(I89&lt;L$11,(((Volatilities_Resets!$AA78-Volatilities_Resets!$Y78)/50)*((Calculator!I89-Calculator!K$11)*10000)+Volatilities_Resets!$Y78)),IF(I89&gt;=K$10,IF(I89&lt;L$10,(((Volatilities_Resets!$Y78-Volatilities_Resets!$W78)/50)*((Calculator!I89-Calculator!K$10)*10000)+Volatilities_Resets!$W78)),IF(I89&gt;=K$9,IF(I89&lt;L$9,(((Volatilities_Resets!$W78-Volatilities_Resets!$U78)/50)*((Calculator!I89-Calculator!K$9)*10000)+Volatilities_Resets!$U78)),IF(I89&gt;=K$8,IF(I89&lt;L$8,(((Volatilities_Resets!$U78-Volatilities_Resets!$S78)/50)*((Calculator!I89-Calculator!K$8)*10000)+Volatilities_Resets!$S78)),IF(I89&gt;=K$7,IF(I89&lt;L$7,(((Volatilities_Resets!$S78-Volatilities_Resets!$Q78)/50)*((Calculator!I89-Calculator!K$7)*10000)+Volatilities_Resets!$Q78)),IF(I89&gt;=K$6,IF(I89&lt;L$6,(((Volatilities_Resets!$Q78-Volatilities_Resets!$O78)/50)*((Calculator!I89-Calculator!K$6)*10000)+Volatilities_Resets!$O78)),IF(I89&gt;=K$5,IF(I89&lt;L$5,(((Volatilities_Resets!$O78-Volatilities_Resets!$M78)/50)*((Calculator!I89-Calculator!K$5)*10000)+Volatilities_Resets!$M78)),IF(I89&gt;=K$4,IF(I89&lt;L$4,(((Volatilities_Resets!$M78-Volatilities_Resets!$K78)/50)*((Calculator!I89-Calculator!K$4)*10000)+Volatilities_Resets!$K78)),IF(I89&gt;=K$3,IF(I89&lt;L$3,(((Volatilities_Resets!$K78-Volatilities_Resets!$I78)/50)*((Calculator!I89-Calculator!K$3)*10000)+Volatilities_Resets!$I78)),IF(I89&gt;=K$2,IF(I89&lt;L$2,(((Volatilities_Resets!$I78-Volatilities_Resets!$G78)/50)*((Calculator!I89-Calculator!K$2)*10000)+Volatilities_Resets!$G78)),"Well, something broke...")))))))))))/10000</f>
        <v>1.1159000000000001E-2</v>
      </c>
      <c r="L89" s="47">
        <f t="shared" ca="1" si="71"/>
        <v>29378.212539124474</v>
      </c>
      <c r="M89" s="63">
        <f t="shared" ca="1" si="72"/>
        <v>1.1818008636929557E-3</v>
      </c>
      <c r="N89" s="63">
        <f t="shared" ca="1" si="55"/>
        <v>2528442.5913580866</v>
      </c>
      <c r="Q89" s="63">
        <f t="shared" ca="1" si="73"/>
        <v>136.36583905549148</v>
      </c>
      <c r="R89" s="63">
        <f ca="1">SUM($Q$15:Q89)</f>
        <v>7559.0202675574046</v>
      </c>
      <c r="T89" s="52">
        <f ca="1">EXP(-AVERAGE(J$15:J89)*G89)</f>
        <v>0.81749663126776706</v>
      </c>
      <c r="U89" s="57"/>
      <c r="V89" s="52">
        <f t="shared" ca="1" si="74"/>
        <v>75</v>
      </c>
      <c r="W89" s="71">
        <f t="shared" ca="1" si="75"/>
        <v>47261</v>
      </c>
      <c r="X89" s="71">
        <f t="shared" ca="1" si="57"/>
        <v>47292</v>
      </c>
      <c r="Y89" s="72">
        <f t="shared" ca="1" si="58"/>
        <v>31</v>
      </c>
      <c r="Z89" s="73">
        <f ca="1">SUM(Y$15:Y89)/360</f>
        <v>6.3444444444444441</v>
      </c>
      <c r="AA89" s="74">
        <f t="shared" si="59"/>
        <v>25000000</v>
      </c>
      <c r="AB89" s="59">
        <f t="shared" si="76"/>
        <v>0.03</v>
      </c>
      <c r="AC89" s="57">
        <f>Volatilities_Resets!$E78*0.01</f>
        <v>2.9650800000000001E-2</v>
      </c>
      <c r="AD89" s="61">
        <f>IF(AB89=AE$11,Volatilities_Resets!$AA78,IF(AB89&gt;=AD$11,IF(AB89&lt;AE$11,(((Volatilities_Resets!$AA78-Volatilities_Resets!$Y78)/50)*((Calculator!AB89-Calculator!AD$11)*10000)+Volatilities_Resets!$Y78)),IF(AB89&gt;=AD$10,IF(AB89&lt;AE$10,(((Volatilities_Resets!$Y78-Volatilities_Resets!$W78)/50)*((Calculator!AB89-Calculator!AD$10)*10000)+Volatilities_Resets!$W78)),IF(AB89&gt;=AD$9,IF(AB89&lt;AE$9,(((Volatilities_Resets!$W78-Volatilities_Resets!$U78)/50)*((Calculator!AB89-Calculator!AD$9)*10000)+Volatilities_Resets!$U78)),IF(AB89&gt;=AD$8,IF(AB89&lt;AE$8,(((Volatilities_Resets!$U78-Volatilities_Resets!$S78)/50)*((Calculator!AB89-Calculator!AD$8)*10000)+Volatilities_Resets!$S78)),IF(AB89&gt;=AD$7,IF(AB89&lt;AE$7,(((Volatilities_Resets!$S78-Volatilities_Resets!$Q78)/50)*((Calculator!AB89-Calculator!AD$7)*10000)+Volatilities_Resets!$Q78)),IF(AB89&gt;=AD$6,IF(AB89&lt;AE$6,(((Volatilities_Resets!$Q78-Volatilities_Resets!$O78)/50)*((Calculator!AB89-Calculator!AD$6)*10000)+Volatilities_Resets!$O78)),IF(AB89&gt;=AD$5,IF(AB89&lt;AE$5,(((Volatilities_Resets!$O78-Volatilities_Resets!$M78)/50)*((Calculator!AB89-Calculator!AD$5)*10000)+Volatilities_Resets!$M78)),IF(AB89&gt;=AD$4,IF(AB89&lt;AE$4,(((Volatilities_Resets!$M78-Volatilities_Resets!$K78)/50)*((Calculator!AB89-Calculator!AD$4)*10000)+Volatilities_Resets!$K78)),IF(AB89&gt;=AD$3,IF(AB89&lt;AE$3,(((Volatilities_Resets!$K78-Volatilities_Resets!$I78)/50)*((Calculator!AB89-Calculator!AD$3)*10000)+Volatilities_Resets!$I78)),IF(AB89&gt;=AD$2,IF(AB89&lt;AE$2,(((Volatilities_Resets!$I78-Volatilities_Resets!$G78)/50)*((Calculator!AB89-Calculator!AD$2)*10000)+Volatilities_Resets!$G78)),"Well, something broke...")))))))))))/10000</f>
        <v>1.1140000000000001E-2</v>
      </c>
      <c r="AE89" s="63">
        <f t="shared" ca="1" si="77"/>
        <v>19394.748130535962</v>
      </c>
      <c r="AF89" s="63">
        <f t="shared" ca="1" si="78"/>
        <v>7.8286317017300922E-4</v>
      </c>
      <c r="AG89" s="63">
        <f t="shared" ca="1" si="97"/>
        <v>1667134.7898935052</v>
      </c>
      <c r="AJ89" s="63">
        <f t="shared" ca="1" si="79"/>
        <v>144.558848001021</v>
      </c>
      <c r="AK89" s="63">
        <f ca="1">SUM($AJ$15:AJ89)</f>
        <v>8133.3260391901704</v>
      </c>
      <c r="AM89" s="52">
        <f ca="1">EXP(-AVERAGE(AC$15:AC89)*Z89)</f>
        <v>0.81749663126776706</v>
      </c>
      <c r="AO89" s="52">
        <f t="shared" ca="1" si="80"/>
        <v>75</v>
      </c>
      <c r="AP89" s="71">
        <f t="shared" ca="1" si="81"/>
        <v>47261</v>
      </c>
      <c r="AQ89" s="71">
        <f t="shared" ca="1" si="60"/>
        <v>47292</v>
      </c>
      <c r="AR89" s="72">
        <f t="shared" ca="1" si="61"/>
        <v>31</v>
      </c>
      <c r="AS89" s="73">
        <f ca="1">SUM(AR$15:AR89)/360</f>
        <v>6.3444444444444441</v>
      </c>
      <c r="AT89" s="74">
        <f t="shared" si="62"/>
        <v>25000000</v>
      </c>
      <c r="AU89" s="59">
        <f t="shared" si="82"/>
        <v>0.04</v>
      </c>
      <c r="AV89" s="57">
        <f>Volatilities_Resets!$E78*0.01</f>
        <v>2.9650800000000001E-2</v>
      </c>
      <c r="AW89" s="61">
        <f>IF(AU89=AX$11,Volatilities_Resets!$AA78,IF(AU89&gt;=AW$11,IF(AU89&lt;AX$11,(((Volatilities_Resets!$AA78-Volatilities_Resets!$Y78)/50)*((Calculator!AU89-Calculator!AW$11)*10000)+Volatilities_Resets!$Y78)),IF(AU89&gt;=AW$10,IF(AU89&lt;AX$10,(((Volatilities_Resets!$Y78-Volatilities_Resets!$W78)/50)*((Calculator!AU89-Calculator!AW$10)*10000)+Volatilities_Resets!$W78)),IF(AU89&gt;=AW$9,IF(AU89&lt;AX$9,(((Volatilities_Resets!$W78-Volatilities_Resets!$U78)/50)*((Calculator!AU89-Calculator!AW$9)*10000)+Volatilities_Resets!$U78)),IF(AU89&gt;=AW$8,IF(AU89&lt;AX$8,(((Volatilities_Resets!$U78-Volatilities_Resets!$S78)/50)*((Calculator!AU89-Calculator!AW$8)*10000)+Volatilities_Resets!$S78)),IF(AU89&gt;=AW$7,IF(AU89&lt;AX$7,(((Volatilities_Resets!$S78-Volatilities_Resets!$Q78)/50)*((Calculator!AU89-Calculator!AW$7)*10000)+Volatilities_Resets!$Q78)),IF(AU89&gt;=AW$6,IF(AU89&lt;AX$6,(((Volatilities_Resets!$Q78-Volatilities_Resets!$O78)/50)*((Calculator!AU89-Calculator!AW$6)*10000)+Volatilities_Resets!$O78)),IF(AU89&gt;=AW$5,IF(AU89&lt;AX$5,(((Volatilities_Resets!$O78-Volatilities_Resets!$M78)/50)*((Calculator!AU89-Calculator!AW$5)*10000)+Volatilities_Resets!$M78)),IF(AU89&gt;=AW$4,IF(AU89&lt;AX$4,(((Volatilities_Resets!$M78-Volatilities_Resets!$K78)/50)*((Calculator!AU89-Calculator!AW$4)*10000)+Volatilities_Resets!$K78)),IF(AU89&gt;=AW$3,IF(AU89&lt;AX$3,(((Volatilities_Resets!$K78-Volatilities_Resets!$I78)/50)*((Calculator!AU89-Calculator!AW$3)*10000)+Volatilities_Resets!$I78)),IF(AU89&gt;=AW$2,IF(AU89&lt;AX$2,(((Volatilities_Resets!$I78-Volatilities_Resets!$G78)/50)*((Calculator!AU89-Calculator!AW$2)*10000)+Volatilities_Resets!$G78)),"Well, something broke...")))))))))))/10000</f>
        <v>1.1601E-2</v>
      </c>
      <c r="AX89" s="63">
        <f t="shared" ca="1" si="83"/>
        <v>12682.477678040155</v>
      </c>
      <c r="AY89" s="63">
        <f t="shared" ca="1" si="84"/>
        <v>5.1394642310673654E-4</v>
      </c>
      <c r="AZ89" s="63">
        <f t="shared" ca="1" si="98"/>
        <v>1027649.2172345212</v>
      </c>
      <c r="BC89" s="63">
        <f t="shared" ca="1" si="63"/>
        <v>135.85396062041093</v>
      </c>
      <c r="BD89" s="63">
        <f ca="1">SUM($BC$15:BC89)</f>
        <v>7746.3276786136166</v>
      </c>
      <c r="BF89" s="52">
        <f ca="1">EXP(-AVERAGE(AV$15:AV89)*AS89)</f>
        <v>0.81749663126776706</v>
      </c>
      <c r="BH89" s="52">
        <f t="shared" ca="1" si="85"/>
        <v>75</v>
      </c>
      <c r="BI89" s="71">
        <f t="shared" ca="1" si="86"/>
        <v>47261</v>
      </c>
      <c r="BJ89" s="71">
        <f t="shared" ca="1" si="64"/>
        <v>47292</v>
      </c>
      <c r="BK89" s="72">
        <f t="shared" ca="1" si="65"/>
        <v>31</v>
      </c>
      <c r="BL89" s="73">
        <f ca="1">SUM(BK$15:BK89)/360</f>
        <v>6.3444444444444441</v>
      </c>
      <c r="BM89" s="74">
        <f t="shared" si="66"/>
        <v>25000000</v>
      </c>
      <c r="BN89" s="59">
        <f t="shared" si="87"/>
        <v>0.05</v>
      </c>
      <c r="BO89" s="57">
        <f>Volatilities_Resets!$E78*0.01</f>
        <v>2.9650800000000001E-2</v>
      </c>
      <c r="BP89" s="61">
        <f>IF(BN89=BQ$11,Volatilities_Resets!$AA78,IF(BN89&gt;=BP$11,IF(BN89&lt;BQ$11,(((Volatilities_Resets!$AA78-Volatilities_Resets!$Y78)/50)*((Calculator!BN89-Calculator!BP$11)*10000)+Volatilities_Resets!$Y78)),IF(BN89&gt;=BP$10,IF(BN89&lt;BQ$10,(((Volatilities_Resets!$Y78-Volatilities_Resets!$W78)/50)*((Calculator!BN89-Calculator!BP$10)*10000)+Volatilities_Resets!$W78)),IF(BN89&gt;=BP$9,IF(BN89&lt;BQ$9,(((Volatilities_Resets!$W78-Volatilities_Resets!$U78)/50)*((Calculator!BN89-Calculator!BP$9)*10000)+Volatilities_Resets!$U78)),IF(BN89&gt;=BP$8,IF(BN89&lt;BQ$8,(((Volatilities_Resets!$U78-Volatilities_Resets!$S78)/50)*((Calculator!BN89-Calculator!BP$8)*10000)+Volatilities_Resets!$S78)),IF(BN89&gt;=BP$7,IF(BN89&lt;BQ$7,(((Volatilities_Resets!$S78-Volatilities_Resets!$Q78)/50)*((Calculator!BN89-Calculator!BP$7)*10000)+Volatilities_Resets!$Q78)),IF(BN89&gt;=BP$6,IF(BN89&lt;BQ$6,(((Volatilities_Resets!$Q78-Volatilities_Resets!$O78)/50)*((Calculator!BN89-Calculator!BP$6)*10000)+Volatilities_Resets!$O78)),IF(BN89&gt;=BP$5,IF(BN89&lt;BQ$5,(((Volatilities_Resets!$O78-Volatilities_Resets!$M78)/50)*((Calculator!BN89-Calculator!BP$5)*10000)+Volatilities_Resets!$M78)),IF(BN89&gt;=BP$4,IF(BN89&lt;BQ$4,(((Volatilities_Resets!$M78-Volatilities_Resets!$K78)/50)*((Calculator!BN89-Calculator!BP$4)*10000)+Volatilities_Resets!$K78)),IF(BN89&gt;=BP$3,IF(BN89&lt;BQ$3,(((Volatilities_Resets!$K78-Volatilities_Resets!$I78)/50)*((Calculator!BN89-Calculator!BP$3)*10000)+Volatilities_Resets!$I78)),IF(BN89&gt;=BP$2,IF(BN89&lt;BQ$2,(((Volatilities_Resets!$I78-Volatilities_Resets!$G78)/50)*((Calculator!BN89-Calculator!BP$2)*10000)+Volatilities_Resets!$G78)),"Well, something broke...")))))))))))/10000</f>
        <v>1.2476000000000001E-2</v>
      </c>
      <c r="BQ89" s="63">
        <f t="shared" ca="1" si="88"/>
        <v>8627.6809449419052</v>
      </c>
      <c r="BR89" s="63">
        <f t="shared" ca="1" si="89"/>
        <v>3.5085264860810946E-4</v>
      </c>
      <c r="BS89" s="63">
        <f t="shared" ca="1" si="99"/>
        <v>591404.79154158675</v>
      </c>
      <c r="BV89" s="63">
        <f t="shared" ca="1" si="90"/>
        <v>117.42134956946445</v>
      </c>
      <c r="BW89" s="63">
        <f ca="1">SUM($BV$15:BV89)</f>
        <v>6657.7467402040193</v>
      </c>
      <c r="BY89" s="52">
        <f ca="1">EXP(-AVERAGE(BO$15:BO89)*BL89)</f>
        <v>0.81749663126776706</v>
      </c>
      <c r="CA89" s="52">
        <f t="shared" ca="1" si="91"/>
        <v>75</v>
      </c>
      <c r="CB89" s="71">
        <f t="shared" ca="1" si="92"/>
        <v>47261</v>
      </c>
      <c r="CC89" s="71">
        <f t="shared" ca="1" si="67"/>
        <v>47292</v>
      </c>
      <c r="CD89" s="72">
        <f t="shared" ca="1" si="68"/>
        <v>31</v>
      </c>
      <c r="CE89" s="73">
        <f ca="1">SUM(CD$15:CD89)/360</f>
        <v>6.3444444444444441</v>
      </c>
      <c r="CF89" s="74">
        <f t="shared" si="69"/>
        <v>25000000</v>
      </c>
      <c r="CG89" s="59">
        <f t="shared" si="93"/>
        <v>0.06</v>
      </c>
      <c r="CH89" s="57">
        <f>Volatilities_Resets!$E78*0.01</f>
        <v>2.9650800000000001E-2</v>
      </c>
      <c r="CI89" s="61">
        <f>IF(CG89=CJ$11,Volatilities_Resets!$AA78,IF(CG89&gt;=CI$11,IF(CG89&lt;CJ$11,(((Volatilities_Resets!$AA78-Volatilities_Resets!$Y78)/50)*((Calculator!CG89-Calculator!CI$11)*10000)+Volatilities_Resets!$Y78)),IF(CG89&gt;=CI$10,IF(CG89&lt;CJ$10,(((Volatilities_Resets!$Y78-Volatilities_Resets!$W78)/50)*((Calculator!CG89-Calculator!CI$10)*10000)+Volatilities_Resets!$W78)),IF(CG89&gt;=CI$9,IF(CG89&lt;CJ$9,(((Volatilities_Resets!$W78-Volatilities_Resets!$U78)/50)*((Calculator!CG89-Calculator!CI$9)*10000)+Volatilities_Resets!$U78)),IF(CG89&gt;=CI$8,IF(CG89&lt;CJ$8,(((Volatilities_Resets!$U78-Volatilities_Resets!$S78)/50)*((Calculator!CG89-Calculator!CI$8)*10000)+Volatilities_Resets!$S78)),IF(CG89&gt;=CI$7,IF(CG89&lt;CJ$7,(((Volatilities_Resets!$S78-Volatilities_Resets!$Q78)/50)*((Calculator!CG89-Calculator!CI$7)*10000)+Volatilities_Resets!$Q78)),IF(CG89&gt;=CI$6,IF(CG89&lt;CJ$6,(((Volatilities_Resets!$Q78-Volatilities_Resets!$O78)/50)*((Calculator!CG89-Calculator!CI$6)*10000)+Volatilities_Resets!$O78)),IF(CG89&gt;=CI$5,IF(CG89&lt;CJ$5,(((Volatilities_Resets!$O78-Volatilities_Resets!$M78)/50)*((Calculator!CG89-Calculator!CI$5)*10000)+Volatilities_Resets!$M78)),IF(CG89&gt;=CI$4,IF(CG89&lt;CJ$4,(((Volatilities_Resets!$M78-Volatilities_Resets!$K78)/50)*((Calculator!CG89-Calculator!CI$4)*10000)+Volatilities_Resets!$K78)),IF(CG89&gt;=CI$3,IF(CG89&lt;CJ$3,(((Volatilities_Resets!$K78-Volatilities_Resets!$I78)/50)*((Calculator!CG89-Calculator!CI$3)*10000)+Volatilities_Resets!$I78)),IF(CG89&gt;=CI$2,IF(CG89&lt;CJ$2,(((Volatilities_Resets!$I78-Volatilities_Resets!$G78)/50)*((Calculator!CG89-Calculator!CI$2)*10000)+Volatilities_Resets!$G78)),"Well, something broke...")))))))))))/10000</f>
        <v>1.3605000000000001E-2</v>
      </c>
      <c r="CJ89" s="63">
        <f t="shared" ca="1" si="94"/>
        <v>6218.0659908732641</v>
      </c>
      <c r="CK89" s="63">
        <f t="shared" ca="1" si="95"/>
        <v>2.5351531825161457E-4</v>
      </c>
      <c r="CL89" s="63">
        <f t="shared" ca="1" si="100"/>
        <v>362256.03100310848</v>
      </c>
      <c r="CO89" s="63">
        <f t="shared" ca="1" si="96"/>
        <v>97.949965597205718</v>
      </c>
      <c r="CP89" s="63">
        <f ca="1">SUM($CO$15:CO89)</f>
        <v>5226.7242722526771</v>
      </c>
      <c r="CR89" s="52">
        <f ca="1">EXP(-AVERAGE(CH$15:CH89)*CE89)</f>
        <v>0.81749663126776706</v>
      </c>
      <c r="CT89"/>
      <c r="CU89"/>
      <c r="CV89"/>
      <c r="CW89"/>
      <c r="CX89"/>
      <c r="CY89"/>
      <c r="CZ89"/>
      <c r="DA89"/>
      <c r="DB89"/>
      <c r="DC89"/>
      <c r="DD89"/>
      <c r="DE89"/>
      <c r="DF89"/>
      <c r="DG89"/>
      <c r="DH89"/>
      <c r="DI89"/>
      <c r="DJ89"/>
      <c r="DK89"/>
      <c r="DL89"/>
    </row>
    <row r="90" spans="2:116" ht="15.75" customHeight="1">
      <c r="B90" s="52">
        <v>7</v>
      </c>
      <c r="C90" s="52">
        <f t="shared" ca="1" si="52"/>
        <v>76</v>
      </c>
      <c r="D90" s="71">
        <f t="shared" ca="1" si="70"/>
        <v>47292</v>
      </c>
      <c r="E90" s="71">
        <f t="shared" ca="1" si="53"/>
        <v>47322</v>
      </c>
      <c r="F90" s="72">
        <f t="shared" ca="1" si="54"/>
        <v>30</v>
      </c>
      <c r="G90" s="73">
        <f ca="1">SUM($F$15:F90)/360</f>
        <v>6.427777777777778</v>
      </c>
      <c r="H90" s="74">
        <f t="shared" si="56"/>
        <v>25000000</v>
      </c>
      <c r="I90" s="59">
        <f>IF('Cap Pricer'!$E$22=DataValidation!$C$2,'Cap Pricer'!$E$23,IF('Cap Pricer'!$E$22=DataValidation!$C$3,VLOOKUP($B90,'Cap Pricer'!$C$25:$E$31,3),""))</f>
        <v>0.02</v>
      </c>
      <c r="J90" s="57">
        <f>Volatilities_Resets!$E79*0.01</f>
        <v>2.9649600000000002E-2</v>
      </c>
      <c r="K90" s="61">
        <f>IF(I90=L$11,Volatilities_Resets!$AA79,IF(I90&gt;=K$11,IF(I90&lt;L$11,(((Volatilities_Resets!$AA79-Volatilities_Resets!$Y79)/50)*((Calculator!I90-Calculator!K$11)*10000)+Volatilities_Resets!$Y79)),IF(I90&gt;=K$10,IF(I90&lt;L$10,(((Volatilities_Resets!$Y79-Volatilities_Resets!$W79)/50)*((Calculator!I90-Calculator!K$10)*10000)+Volatilities_Resets!$W79)),IF(I90&gt;=K$9,IF(I90&lt;L$9,(((Volatilities_Resets!$W79-Volatilities_Resets!$U79)/50)*((Calculator!I90-Calculator!K$9)*10000)+Volatilities_Resets!$U79)),IF(I90&gt;=K$8,IF(I90&lt;L$8,(((Volatilities_Resets!$U79-Volatilities_Resets!$S79)/50)*((Calculator!I90-Calculator!K$8)*10000)+Volatilities_Resets!$S79)),IF(I90&gt;=K$7,IF(I90&lt;L$7,(((Volatilities_Resets!$S79-Volatilities_Resets!$Q79)/50)*((Calculator!I90-Calculator!K$7)*10000)+Volatilities_Resets!$Q79)),IF(I90&gt;=K$6,IF(I90&lt;L$6,(((Volatilities_Resets!$Q79-Volatilities_Resets!$O79)/50)*((Calculator!I90-Calculator!K$6)*10000)+Volatilities_Resets!$O79)),IF(I90&gt;=K$5,IF(I90&lt;L$5,(((Volatilities_Resets!$O79-Volatilities_Resets!$M79)/50)*((Calculator!I90-Calculator!K$5)*10000)+Volatilities_Resets!$M79)),IF(I90&gt;=K$4,IF(I90&lt;L$4,(((Volatilities_Resets!$M79-Volatilities_Resets!$K79)/50)*((Calculator!I90-Calculator!K$4)*10000)+Volatilities_Resets!$K79)),IF(I90&gt;=K$3,IF(I90&lt;L$3,(((Volatilities_Resets!$K79-Volatilities_Resets!$I79)/50)*((Calculator!I90-Calculator!K$3)*10000)+Volatilities_Resets!$I79)),IF(I90&gt;=K$2,IF(I90&lt;L$2,(((Volatilities_Resets!$I79-Volatilities_Resets!$G79)/50)*((Calculator!I90-Calculator!K$2)*10000)+Volatilities_Resets!$G79)),"Well, something broke...")))))))))))/10000</f>
        <v>1.1159000000000001E-2</v>
      </c>
      <c r="L90" s="47">
        <f t="shared" ca="1" si="71"/>
        <v>28476.762691978849</v>
      </c>
      <c r="M90" s="63">
        <f t="shared" ca="1" si="72"/>
        <v>1.1455588843129676E-3</v>
      </c>
      <c r="N90" s="63">
        <f t="shared" ca="1" si="55"/>
        <v>2556919.3540500654</v>
      </c>
      <c r="Q90" s="63">
        <f t="shared" ca="1" si="73"/>
        <v>132.27876054870237</v>
      </c>
      <c r="R90" s="63">
        <f ca="1">SUM($Q$15:Q90)</f>
        <v>7691.2990281061066</v>
      </c>
      <c r="T90" s="52">
        <f ca="1">EXP(-AVERAGE(J$15:J90)*G90)</f>
        <v>0.81548139397052843</v>
      </c>
      <c r="U90" s="57"/>
      <c r="V90" s="52">
        <f t="shared" ca="1" si="74"/>
        <v>76</v>
      </c>
      <c r="W90" s="71">
        <f t="shared" ca="1" si="75"/>
        <v>47292</v>
      </c>
      <c r="X90" s="71">
        <f t="shared" ca="1" si="57"/>
        <v>47322</v>
      </c>
      <c r="Y90" s="72">
        <f t="shared" ca="1" si="58"/>
        <v>30</v>
      </c>
      <c r="Z90" s="73">
        <f ca="1">SUM(Y$15:Y90)/360</f>
        <v>6.427777777777778</v>
      </c>
      <c r="AA90" s="74">
        <f t="shared" si="59"/>
        <v>25000000</v>
      </c>
      <c r="AB90" s="59">
        <f t="shared" si="76"/>
        <v>0.03</v>
      </c>
      <c r="AC90" s="57">
        <f>Volatilities_Resets!$E79*0.01</f>
        <v>2.9649600000000002E-2</v>
      </c>
      <c r="AD90" s="61">
        <f>IF(AB90=AE$11,Volatilities_Resets!$AA79,IF(AB90&gt;=AD$11,IF(AB90&lt;AE$11,(((Volatilities_Resets!$AA79-Volatilities_Resets!$Y79)/50)*((Calculator!AB90-Calculator!AD$11)*10000)+Volatilities_Resets!$Y79)),IF(AB90&gt;=AD$10,IF(AB90&lt;AE$10,(((Volatilities_Resets!$Y79-Volatilities_Resets!$W79)/50)*((Calculator!AB90-Calculator!AD$10)*10000)+Volatilities_Resets!$W79)),IF(AB90&gt;=AD$9,IF(AB90&lt;AE$9,(((Volatilities_Resets!$W79-Volatilities_Resets!$U79)/50)*((Calculator!AB90-Calculator!AD$9)*10000)+Volatilities_Resets!$U79)),IF(AB90&gt;=AD$8,IF(AB90&lt;AE$8,(((Volatilities_Resets!$U79-Volatilities_Resets!$S79)/50)*((Calculator!AB90-Calculator!AD$8)*10000)+Volatilities_Resets!$S79)),IF(AB90&gt;=AD$7,IF(AB90&lt;AE$7,(((Volatilities_Resets!$S79-Volatilities_Resets!$Q79)/50)*((Calculator!AB90-Calculator!AD$7)*10000)+Volatilities_Resets!$Q79)),IF(AB90&gt;=AD$6,IF(AB90&lt;AE$6,(((Volatilities_Resets!$Q79-Volatilities_Resets!$O79)/50)*((Calculator!AB90-Calculator!AD$6)*10000)+Volatilities_Resets!$O79)),IF(AB90&gt;=AD$5,IF(AB90&lt;AE$5,(((Volatilities_Resets!$O79-Volatilities_Resets!$M79)/50)*((Calculator!AB90-Calculator!AD$5)*10000)+Volatilities_Resets!$M79)),IF(AB90&gt;=AD$4,IF(AB90&lt;AE$4,(((Volatilities_Resets!$M79-Volatilities_Resets!$K79)/50)*((Calculator!AB90-Calculator!AD$4)*10000)+Volatilities_Resets!$K79)),IF(AB90&gt;=AD$3,IF(AB90&lt;AE$3,(((Volatilities_Resets!$K79-Volatilities_Resets!$I79)/50)*((Calculator!AB90-Calculator!AD$3)*10000)+Volatilities_Resets!$I79)),IF(AB90&gt;=AD$2,IF(AB90&lt;AE$2,(((Volatilities_Resets!$I79-Volatilities_Resets!$G79)/50)*((Calculator!AB90-Calculator!AD$2)*10000)+Volatilities_Resets!$G79)),"Well, something broke...")))))))))))/10000</f>
        <v>1.1140000000000001E-2</v>
      </c>
      <c r="AE90" s="63">
        <f t="shared" ca="1" si="77"/>
        <v>18846.315744076837</v>
      </c>
      <c r="AF90" s="63">
        <f t="shared" ca="1" si="78"/>
        <v>7.6072553217199524E-4</v>
      </c>
      <c r="AG90" s="63">
        <f t="shared" ca="1" si="97"/>
        <v>1685981.105637582</v>
      </c>
      <c r="AJ90" s="63">
        <f t="shared" ca="1" si="79"/>
        <v>140.11810092627346</v>
      </c>
      <c r="AK90" s="63">
        <f ca="1">SUM($AJ$15:AJ90)</f>
        <v>8273.444140116444</v>
      </c>
      <c r="AM90" s="52">
        <f ca="1">EXP(-AVERAGE(AC$15:AC90)*Z90)</f>
        <v>0.81548139397052843</v>
      </c>
      <c r="AO90" s="52">
        <f t="shared" ca="1" si="80"/>
        <v>76</v>
      </c>
      <c r="AP90" s="71">
        <f t="shared" ca="1" si="81"/>
        <v>47292</v>
      </c>
      <c r="AQ90" s="71">
        <f t="shared" ca="1" si="60"/>
        <v>47322</v>
      </c>
      <c r="AR90" s="72">
        <f t="shared" ca="1" si="61"/>
        <v>30</v>
      </c>
      <c r="AS90" s="73">
        <f ca="1">SUM(AR$15:AR90)/360</f>
        <v>6.427777777777778</v>
      </c>
      <c r="AT90" s="74">
        <f t="shared" si="62"/>
        <v>25000000</v>
      </c>
      <c r="AU90" s="59">
        <f t="shared" si="82"/>
        <v>0.04</v>
      </c>
      <c r="AV90" s="57">
        <f>Volatilities_Resets!$E79*0.01</f>
        <v>2.9649600000000002E-2</v>
      </c>
      <c r="AW90" s="61">
        <f>IF(AU90=AX$11,Volatilities_Resets!$AA79,IF(AU90&gt;=AW$11,IF(AU90&lt;AX$11,(((Volatilities_Resets!$AA79-Volatilities_Resets!$Y79)/50)*((Calculator!AU90-Calculator!AW$11)*10000)+Volatilities_Resets!$Y79)),IF(AU90&gt;=AW$10,IF(AU90&lt;AX$10,(((Volatilities_Resets!$Y79-Volatilities_Resets!$W79)/50)*((Calculator!AU90-Calculator!AW$10)*10000)+Volatilities_Resets!$W79)),IF(AU90&gt;=AW$9,IF(AU90&lt;AX$9,(((Volatilities_Resets!$W79-Volatilities_Resets!$U79)/50)*((Calculator!AU90-Calculator!AW$9)*10000)+Volatilities_Resets!$U79)),IF(AU90&gt;=AW$8,IF(AU90&lt;AX$8,(((Volatilities_Resets!$U79-Volatilities_Resets!$S79)/50)*((Calculator!AU90-Calculator!AW$8)*10000)+Volatilities_Resets!$S79)),IF(AU90&gt;=AW$7,IF(AU90&lt;AX$7,(((Volatilities_Resets!$S79-Volatilities_Resets!$Q79)/50)*((Calculator!AU90-Calculator!AW$7)*10000)+Volatilities_Resets!$Q79)),IF(AU90&gt;=AW$6,IF(AU90&lt;AX$6,(((Volatilities_Resets!$Q79-Volatilities_Resets!$O79)/50)*((Calculator!AU90-Calculator!AW$6)*10000)+Volatilities_Resets!$O79)),IF(AU90&gt;=AW$5,IF(AU90&lt;AX$5,(((Volatilities_Resets!$O79-Volatilities_Resets!$M79)/50)*((Calculator!AU90-Calculator!AW$5)*10000)+Volatilities_Resets!$M79)),IF(AU90&gt;=AW$4,IF(AU90&lt;AX$4,(((Volatilities_Resets!$M79-Volatilities_Resets!$K79)/50)*((Calculator!AU90-Calculator!AW$4)*10000)+Volatilities_Resets!$K79)),IF(AU90&gt;=AW$3,IF(AU90&lt;AX$3,(((Volatilities_Resets!$K79-Volatilities_Resets!$I79)/50)*((Calculator!AU90-Calculator!AW$3)*10000)+Volatilities_Resets!$I79)),IF(AU90&gt;=AW$2,IF(AU90&lt;AX$2,(((Volatilities_Resets!$I79-Volatilities_Resets!$G79)/50)*((Calculator!AU90-Calculator!AW$2)*10000)+Volatilities_Resets!$G79)),"Well, something broke...")))))))))))/10000</f>
        <v>1.1601E-2</v>
      </c>
      <c r="AX90" s="63">
        <f t="shared" ca="1" si="83"/>
        <v>12364.1829957441</v>
      </c>
      <c r="AY90" s="63">
        <f t="shared" ca="1" si="84"/>
        <v>5.0103147141572902E-4</v>
      </c>
      <c r="AZ90" s="63">
        <f t="shared" ca="1" si="98"/>
        <v>1040013.4002302652</v>
      </c>
      <c r="BC90" s="63">
        <f t="shared" ca="1" si="63"/>
        <v>131.78488365398843</v>
      </c>
      <c r="BD90" s="63">
        <f ca="1">SUM($BC$15:BC90)</f>
        <v>7878.1125622676054</v>
      </c>
      <c r="BF90" s="52">
        <f ca="1">EXP(-AVERAGE(AV$15:AV90)*AS90)</f>
        <v>0.81548139397052843</v>
      </c>
      <c r="BH90" s="52">
        <f t="shared" ca="1" si="85"/>
        <v>76</v>
      </c>
      <c r="BI90" s="71">
        <f t="shared" ca="1" si="86"/>
        <v>47292</v>
      </c>
      <c r="BJ90" s="71">
        <f t="shared" ca="1" si="64"/>
        <v>47322</v>
      </c>
      <c r="BK90" s="72">
        <f t="shared" ca="1" si="65"/>
        <v>30</v>
      </c>
      <c r="BL90" s="73">
        <f ca="1">SUM(BK$15:BK90)/360</f>
        <v>6.427777777777778</v>
      </c>
      <c r="BM90" s="74">
        <f t="shared" si="66"/>
        <v>25000000</v>
      </c>
      <c r="BN90" s="59">
        <f t="shared" si="87"/>
        <v>0.05</v>
      </c>
      <c r="BO90" s="57">
        <f>Volatilities_Resets!$E79*0.01</f>
        <v>2.9649600000000002E-2</v>
      </c>
      <c r="BP90" s="61">
        <f>IF(BN90=BQ$11,Volatilities_Resets!$AA79,IF(BN90&gt;=BP$11,IF(BN90&lt;BQ$11,(((Volatilities_Resets!$AA79-Volatilities_Resets!$Y79)/50)*((Calculator!BN90-Calculator!BP$11)*10000)+Volatilities_Resets!$Y79)),IF(BN90&gt;=BP$10,IF(BN90&lt;BQ$10,(((Volatilities_Resets!$Y79-Volatilities_Resets!$W79)/50)*((Calculator!BN90-Calculator!BP$10)*10000)+Volatilities_Resets!$W79)),IF(BN90&gt;=BP$9,IF(BN90&lt;BQ$9,(((Volatilities_Resets!$W79-Volatilities_Resets!$U79)/50)*((Calculator!BN90-Calculator!BP$9)*10000)+Volatilities_Resets!$U79)),IF(BN90&gt;=BP$8,IF(BN90&lt;BQ$8,(((Volatilities_Resets!$U79-Volatilities_Resets!$S79)/50)*((Calculator!BN90-Calculator!BP$8)*10000)+Volatilities_Resets!$S79)),IF(BN90&gt;=BP$7,IF(BN90&lt;BQ$7,(((Volatilities_Resets!$S79-Volatilities_Resets!$Q79)/50)*((Calculator!BN90-Calculator!BP$7)*10000)+Volatilities_Resets!$Q79)),IF(BN90&gt;=BP$6,IF(BN90&lt;BQ$6,(((Volatilities_Resets!$Q79-Volatilities_Resets!$O79)/50)*((Calculator!BN90-Calculator!BP$6)*10000)+Volatilities_Resets!$O79)),IF(BN90&gt;=BP$5,IF(BN90&lt;BQ$5,(((Volatilities_Resets!$O79-Volatilities_Resets!$M79)/50)*((Calculator!BN90-Calculator!BP$5)*10000)+Volatilities_Resets!$M79)),IF(BN90&gt;=BP$4,IF(BN90&lt;BQ$4,(((Volatilities_Resets!$M79-Volatilities_Resets!$K79)/50)*((Calculator!BN90-Calculator!BP$4)*10000)+Volatilities_Resets!$K79)),IF(BN90&gt;=BP$3,IF(BN90&lt;BQ$3,(((Volatilities_Resets!$K79-Volatilities_Resets!$I79)/50)*((Calculator!BN90-Calculator!BP$3)*10000)+Volatilities_Resets!$I79)),IF(BN90&gt;=BP$2,IF(BN90&lt;BQ$2,(((Volatilities_Resets!$I79-Volatilities_Resets!$G79)/50)*((Calculator!BN90-Calculator!BP$2)*10000)+Volatilities_Resets!$G79)),"Well, something broke...")))))))))))/10000</f>
        <v>1.2476000000000001E-2</v>
      </c>
      <c r="BQ90" s="63">
        <f t="shared" ca="1" si="88"/>
        <v>8441.4619831228119</v>
      </c>
      <c r="BR90" s="63">
        <f t="shared" ca="1" si="89"/>
        <v>3.4325609327678984E-4</v>
      </c>
      <c r="BS90" s="63">
        <f t="shared" ca="1" si="99"/>
        <v>599846.25352470961</v>
      </c>
      <c r="BV90" s="63">
        <f t="shared" ca="1" si="90"/>
        <v>114.11875070964615</v>
      </c>
      <c r="BW90" s="63">
        <f ca="1">SUM($BV$15:BV90)</f>
        <v>6771.8654909136658</v>
      </c>
      <c r="BY90" s="52">
        <f ca="1">EXP(-AVERAGE(BO$15:BO90)*BL90)</f>
        <v>0.81548139397052843</v>
      </c>
      <c r="CA90" s="52">
        <f t="shared" ca="1" si="91"/>
        <v>76</v>
      </c>
      <c r="CB90" s="71">
        <f t="shared" ca="1" si="92"/>
        <v>47292</v>
      </c>
      <c r="CC90" s="71">
        <f t="shared" ca="1" si="67"/>
        <v>47322</v>
      </c>
      <c r="CD90" s="72">
        <f t="shared" ca="1" si="68"/>
        <v>30</v>
      </c>
      <c r="CE90" s="73">
        <f ca="1">SUM(CD$15:CD90)/360</f>
        <v>6.427777777777778</v>
      </c>
      <c r="CF90" s="74">
        <f t="shared" si="69"/>
        <v>25000000</v>
      </c>
      <c r="CG90" s="59">
        <f t="shared" si="93"/>
        <v>0.06</v>
      </c>
      <c r="CH90" s="57">
        <f>Volatilities_Resets!$E79*0.01</f>
        <v>2.9649600000000002E-2</v>
      </c>
      <c r="CI90" s="61">
        <f>IF(CG90=CJ$11,Volatilities_Resets!$AA79,IF(CG90&gt;=CI$11,IF(CG90&lt;CJ$11,(((Volatilities_Resets!$AA79-Volatilities_Resets!$Y79)/50)*((Calculator!CG90-Calculator!CI$11)*10000)+Volatilities_Resets!$Y79)),IF(CG90&gt;=CI$10,IF(CG90&lt;CJ$10,(((Volatilities_Resets!$Y79-Volatilities_Resets!$W79)/50)*((Calculator!CG90-Calculator!CI$10)*10000)+Volatilities_Resets!$W79)),IF(CG90&gt;=CI$9,IF(CG90&lt;CJ$9,(((Volatilities_Resets!$W79-Volatilities_Resets!$U79)/50)*((Calculator!CG90-Calculator!CI$9)*10000)+Volatilities_Resets!$U79)),IF(CG90&gt;=CI$8,IF(CG90&lt;CJ$8,(((Volatilities_Resets!$U79-Volatilities_Resets!$S79)/50)*((Calculator!CG90-Calculator!CI$8)*10000)+Volatilities_Resets!$S79)),IF(CG90&gt;=CI$7,IF(CG90&lt;CJ$7,(((Volatilities_Resets!$S79-Volatilities_Resets!$Q79)/50)*((Calculator!CG90-Calculator!CI$7)*10000)+Volatilities_Resets!$Q79)),IF(CG90&gt;=CI$6,IF(CG90&lt;CJ$6,(((Volatilities_Resets!$Q79-Volatilities_Resets!$O79)/50)*((Calculator!CG90-Calculator!CI$6)*10000)+Volatilities_Resets!$O79)),IF(CG90&gt;=CI$5,IF(CG90&lt;CJ$5,(((Volatilities_Resets!$O79-Volatilities_Resets!$M79)/50)*((Calculator!CG90-Calculator!CI$5)*10000)+Volatilities_Resets!$M79)),IF(CG90&gt;=CI$4,IF(CG90&lt;CJ$4,(((Volatilities_Resets!$M79-Volatilities_Resets!$K79)/50)*((Calculator!CG90-Calculator!CI$4)*10000)+Volatilities_Resets!$K79)),IF(CG90&gt;=CI$3,IF(CG90&lt;CJ$3,(((Volatilities_Resets!$K79-Volatilities_Resets!$I79)/50)*((Calculator!CG90-Calculator!CI$3)*10000)+Volatilities_Resets!$I79)),IF(CG90&gt;=CI$2,IF(CG90&lt;CJ$2,(((Volatilities_Resets!$I79-Volatilities_Resets!$G79)/50)*((Calculator!CG90-Calculator!CI$2)*10000)+Volatilities_Resets!$G79)),"Well, something broke...")))))))))))/10000</f>
        <v>1.3606E-2</v>
      </c>
      <c r="CJ90" s="63">
        <f t="shared" ca="1" si="94"/>
        <v>6106.408098633493</v>
      </c>
      <c r="CK90" s="63">
        <f t="shared" ca="1" si="95"/>
        <v>2.4893693749056408E-4</v>
      </c>
      <c r="CL90" s="63">
        <f t="shared" ca="1" si="100"/>
        <v>368362.439101742</v>
      </c>
      <c r="CO90" s="63">
        <f t="shared" ca="1" si="96"/>
        <v>95.423831462422328</v>
      </c>
      <c r="CP90" s="63">
        <f ca="1">SUM($CO$15:CO90)</f>
        <v>5322.1481037150998</v>
      </c>
      <c r="CR90" s="52">
        <f ca="1">EXP(-AVERAGE(CH$15:CH90)*CE90)</f>
        <v>0.81548139397052843</v>
      </c>
      <c r="CT90"/>
      <c r="CU90"/>
      <c r="CV90"/>
      <c r="CW90"/>
      <c r="CX90"/>
      <c r="CY90"/>
      <c r="CZ90"/>
      <c r="DA90"/>
      <c r="DB90"/>
      <c r="DC90"/>
      <c r="DD90"/>
      <c r="DE90"/>
      <c r="DF90"/>
      <c r="DG90"/>
      <c r="DH90"/>
      <c r="DI90"/>
      <c r="DJ90"/>
      <c r="DK90"/>
      <c r="DL90"/>
    </row>
    <row r="91" spans="2:116" ht="15.75" customHeight="1">
      <c r="B91" s="52">
        <v>7</v>
      </c>
      <c r="C91" s="52">
        <f t="shared" ca="1" si="52"/>
        <v>77</v>
      </c>
      <c r="D91" s="71">
        <f t="shared" ca="1" si="70"/>
        <v>47322</v>
      </c>
      <c r="E91" s="71">
        <f t="shared" ca="1" si="53"/>
        <v>47353</v>
      </c>
      <c r="F91" s="72">
        <f t="shared" ca="1" si="54"/>
        <v>31</v>
      </c>
      <c r="G91" s="73">
        <f ca="1">SUM($F$15:F91)/360</f>
        <v>6.5138888888888893</v>
      </c>
      <c r="H91" s="74">
        <f t="shared" si="56"/>
        <v>25000000</v>
      </c>
      <c r="I91" s="59">
        <f>IF('Cap Pricer'!$E$22=DataValidation!$C$2,'Cap Pricer'!$E$23,IF('Cap Pricer'!$E$22=DataValidation!$C$3,VLOOKUP($B91,'Cap Pricer'!$C$25:$E$31,3),""))</f>
        <v>0.02</v>
      </c>
      <c r="J91" s="57">
        <f>Volatilities_Resets!$E80*0.01</f>
        <v>2.9653200000000001E-2</v>
      </c>
      <c r="K91" s="61">
        <f>IF(I91=L$11,Volatilities_Resets!$AA80,IF(I91&gt;=K$11,IF(I91&lt;L$11,(((Volatilities_Resets!$AA80-Volatilities_Resets!$Y80)/50)*((Calculator!I91-Calculator!K$11)*10000)+Volatilities_Resets!$Y80)),IF(I91&gt;=K$10,IF(I91&lt;L$10,(((Volatilities_Resets!$Y80-Volatilities_Resets!$W80)/50)*((Calculator!I91-Calculator!K$10)*10000)+Volatilities_Resets!$W80)),IF(I91&gt;=K$9,IF(I91&lt;L$9,(((Volatilities_Resets!$W80-Volatilities_Resets!$U80)/50)*((Calculator!I91-Calculator!K$9)*10000)+Volatilities_Resets!$U80)),IF(I91&gt;=K$8,IF(I91&lt;L$8,(((Volatilities_Resets!$U80-Volatilities_Resets!$S80)/50)*((Calculator!I91-Calculator!K$8)*10000)+Volatilities_Resets!$S80)),IF(I91&gt;=K$7,IF(I91&lt;L$7,(((Volatilities_Resets!$S80-Volatilities_Resets!$Q80)/50)*((Calculator!I91-Calculator!K$7)*10000)+Volatilities_Resets!$Q80)),IF(I91&gt;=K$6,IF(I91&lt;L$6,(((Volatilities_Resets!$Q80-Volatilities_Resets!$O80)/50)*((Calculator!I91-Calculator!K$6)*10000)+Volatilities_Resets!$O80)),IF(I91&gt;=K$5,IF(I91&lt;L$5,(((Volatilities_Resets!$O80-Volatilities_Resets!$M80)/50)*((Calculator!I91-Calculator!K$5)*10000)+Volatilities_Resets!$M80)),IF(I91&gt;=K$4,IF(I91&lt;L$4,(((Volatilities_Resets!$M80-Volatilities_Resets!$K80)/50)*((Calculator!I91-Calculator!K$4)*10000)+Volatilities_Resets!$K80)),IF(I91&gt;=K$3,IF(I91&lt;L$3,(((Volatilities_Resets!$K80-Volatilities_Resets!$I80)/50)*((Calculator!I91-Calculator!K$3)*10000)+Volatilities_Resets!$I80)),IF(I91&gt;=K$2,IF(I91&lt;L$2,(((Volatilities_Resets!$I80-Volatilities_Resets!$G80)/50)*((Calculator!I91-Calculator!K$2)*10000)+Volatilities_Resets!$G80)),"Well, something broke...")))))))))))/10000</f>
        <v>1.1159000000000001E-2</v>
      </c>
      <c r="L91" s="47">
        <f t="shared" ca="1" si="71"/>
        <v>29479.37741038053</v>
      </c>
      <c r="M91" s="63">
        <f t="shared" ca="1" si="72"/>
        <v>1.1859121260044834E-3</v>
      </c>
      <c r="N91" s="63">
        <f t="shared" ca="1" si="55"/>
        <v>2586398.731460446</v>
      </c>
      <c r="Q91" s="63">
        <f t="shared" ca="1" si="73"/>
        <v>136.99735842419474</v>
      </c>
      <c r="R91" s="63">
        <f ca="1">SUM($Q$15:Q91)</f>
        <v>7828.2963865303009</v>
      </c>
      <c r="T91" s="52">
        <f ca="1">EXP(-AVERAGE(J$15:J91)*G91)</f>
        <v>0.8133991790242282</v>
      </c>
      <c r="U91" s="57"/>
      <c r="V91" s="52">
        <f t="shared" ca="1" si="74"/>
        <v>77</v>
      </c>
      <c r="W91" s="71">
        <f t="shared" ca="1" si="75"/>
        <v>47322</v>
      </c>
      <c r="X91" s="71">
        <f t="shared" ca="1" si="57"/>
        <v>47353</v>
      </c>
      <c r="Y91" s="72">
        <f t="shared" ca="1" si="58"/>
        <v>31</v>
      </c>
      <c r="Z91" s="73">
        <f ca="1">SUM(Y$15:Y91)/360</f>
        <v>6.5138888888888893</v>
      </c>
      <c r="AA91" s="74">
        <f t="shared" si="59"/>
        <v>25000000</v>
      </c>
      <c r="AB91" s="59">
        <f t="shared" si="76"/>
        <v>0.03</v>
      </c>
      <c r="AC91" s="57">
        <f>Volatilities_Resets!$E80*0.01</f>
        <v>2.9653200000000001E-2</v>
      </c>
      <c r="AD91" s="61">
        <f>IF(AB91=AE$11,Volatilities_Resets!$AA80,IF(AB91&gt;=AD$11,IF(AB91&lt;AE$11,(((Volatilities_Resets!$AA80-Volatilities_Resets!$Y80)/50)*((Calculator!AB91-Calculator!AD$11)*10000)+Volatilities_Resets!$Y80)),IF(AB91&gt;=AD$10,IF(AB91&lt;AE$10,(((Volatilities_Resets!$Y80-Volatilities_Resets!$W80)/50)*((Calculator!AB91-Calculator!AD$10)*10000)+Volatilities_Resets!$W80)),IF(AB91&gt;=AD$9,IF(AB91&lt;AE$9,(((Volatilities_Resets!$W80-Volatilities_Resets!$U80)/50)*((Calculator!AB91-Calculator!AD$9)*10000)+Volatilities_Resets!$U80)),IF(AB91&gt;=AD$8,IF(AB91&lt;AE$8,(((Volatilities_Resets!$U80-Volatilities_Resets!$S80)/50)*((Calculator!AB91-Calculator!AD$8)*10000)+Volatilities_Resets!$S80)),IF(AB91&gt;=AD$7,IF(AB91&lt;AE$7,(((Volatilities_Resets!$S80-Volatilities_Resets!$Q80)/50)*((Calculator!AB91-Calculator!AD$7)*10000)+Volatilities_Resets!$Q80)),IF(AB91&gt;=AD$6,IF(AB91&lt;AE$6,(((Volatilities_Resets!$Q80-Volatilities_Resets!$O80)/50)*((Calculator!AB91-Calculator!AD$6)*10000)+Volatilities_Resets!$O80)),IF(AB91&gt;=AD$5,IF(AB91&lt;AE$5,(((Volatilities_Resets!$O80-Volatilities_Resets!$M80)/50)*((Calculator!AB91-Calculator!AD$5)*10000)+Volatilities_Resets!$M80)),IF(AB91&gt;=AD$4,IF(AB91&lt;AE$4,(((Volatilities_Resets!$M80-Volatilities_Resets!$K80)/50)*((Calculator!AB91-Calculator!AD$4)*10000)+Volatilities_Resets!$K80)),IF(AB91&gt;=AD$3,IF(AB91&lt;AE$3,(((Volatilities_Resets!$K80-Volatilities_Resets!$I80)/50)*((Calculator!AB91-Calculator!AD$3)*10000)+Volatilities_Resets!$I80)),IF(AB91&gt;=AD$2,IF(AB91&lt;AE$2,(((Volatilities_Resets!$I80-Volatilities_Resets!$G80)/50)*((Calculator!AB91-Calculator!AD$2)*10000)+Volatilities_Resets!$G80)),"Well, something broke...")))))))))))/10000</f>
        <v>1.1140000000000001E-2</v>
      </c>
      <c r="AE91" s="63">
        <f t="shared" ca="1" si="77"/>
        <v>19559.63125494837</v>
      </c>
      <c r="AF91" s="63">
        <f t="shared" ca="1" si="78"/>
        <v>7.895164259792898E-4</v>
      </c>
      <c r="AG91" s="63">
        <f t="shared" ca="1" si="97"/>
        <v>1705540.7368925305</v>
      </c>
      <c r="AJ91" s="63">
        <f t="shared" ca="1" si="79"/>
        <v>145.01231315079104</v>
      </c>
      <c r="AK91" s="63">
        <f ca="1">SUM($AJ$15:AJ91)</f>
        <v>8418.4564532672357</v>
      </c>
      <c r="AM91" s="52">
        <f ca="1">EXP(-AVERAGE(AC$15:AC91)*Z91)</f>
        <v>0.8133991790242282</v>
      </c>
      <c r="AO91" s="52">
        <f t="shared" ca="1" si="80"/>
        <v>77</v>
      </c>
      <c r="AP91" s="71">
        <f t="shared" ca="1" si="81"/>
        <v>47322</v>
      </c>
      <c r="AQ91" s="71">
        <f t="shared" ca="1" si="60"/>
        <v>47353</v>
      </c>
      <c r="AR91" s="72">
        <f t="shared" ca="1" si="61"/>
        <v>31</v>
      </c>
      <c r="AS91" s="73">
        <f ca="1">SUM(AR$15:AR91)/360</f>
        <v>6.5138888888888893</v>
      </c>
      <c r="AT91" s="74">
        <f t="shared" si="62"/>
        <v>25000000</v>
      </c>
      <c r="AU91" s="59">
        <f t="shared" si="82"/>
        <v>0.04</v>
      </c>
      <c r="AV91" s="57">
        <f>Volatilities_Resets!$E80*0.01</f>
        <v>2.9653200000000001E-2</v>
      </c>
      <c r="AW91" s="61">
        <f>IF(AU91=AX$11,Volatilities_Resets!$AA80,IF(AU91&gt;=AW$11,IF(AU91&lt;AX$11,(((Volatilities_Resets!$AA80-Volatilities_Resets!$Y80)/50)*((Calculator!AU91-Calculator!AW$11)*10000)+Volatilities_Resets!$Y80)),IF(AU91&gt;=AW$10,IF(AU91&lt;AX$10,(((Volatilities_Resets!$Y80-Volatilities_Resets!$W80)/50)*((Calculator!AU91-Calculator!AW$10)*10000)+Volatilities_Resets!$W80)),IF(AU91&gt;=AW$9,IF(AU91&lt;AX$9,(((Volatilities_Resets!$W80-Volatilities_Resets!$U80)/50)*((Calculator!AU91-Calculator!AW$9)*10000)+Volatilities_Resets!$U80)),IF(AU91&gt;=AW$8,IF(AU91&lt;AX$8,(((Volatilities_Resets!$U80-Volatilities_Resets!$S80)/50)*((Calculator!AU91-Calculator!AW$8)*10000)+Volatilities_Resets!$S80)),IF(AU91&gt;=AW$7,IF(AU91&lt;AX$7,(((Volatilities_Resets!$S80-Volatilities_Resets!$Q80)/50)*((Calculator!AU91-Calculator!AW$7)*10000)+Volatilities_Resets!$Q80)),IF(AU91&gt;=AW$6,IF(AU91&lt;AX$6,(((Volatilities_Resets!$Q80-Volatilities_Resets!$O80)/50)*((Calculator!AU91-Calculator!AW$6)*10000)+Volatilities_Resets!$O80)),IF(AU91&gt;=AW$5,IF(AU91&lt;AX$5,(((Volatilities_Resets!$O80-Volatilities_Resets!$M80)/50)*((Calculator!AU91-Calculator!AW$5)*10000)+Volatilities_Resets!$M80)),IF(AU91&gt;=AW$4,IF(AU91&lt;AX$4,(((Volatilities_Resets!$M80-Volatilities_Resets!$K80)/50)*((Calculator!AU91-Calculator!AW$4)*10000)+Volatilities_Resets!$K80)),IF(AU91&gt;=AW$3,IF(AU91&lt;AX$3,(((Volatilities_Resets!$K80-Volatilities_Resets!$I80)/50)*((Calculator!AU91-Calculator!AW$3)*10000)+Volatilities_Resets!$I80)),IF(AU91&gt;=AW$2,IF(AU91&lt;AX$2,(((Volatilities_Resets!$I80-Volatilities_Resets!$G80)/50)*((Calculator!AU91-Calculator!AW$2)*10000)+Volatilities_Resets!$G80)),"Well, something broke...")))))))))))/10000</f>
        <v>1.1601E-2</v>
      </c>
      <c r="AX91" s="63">
        <f t="shared" ca="1" si="83"/>
        <v>12874.977641114891</v>
      </c>
      <c r="AY91" s="63">
        <f t="shared" ca="1" si="84"/>
        <v>5.2171188151505692E-4</v>
      </c>
      <c r="AZ91" s="63">
        <f t="shared" ca="1" si="98"/>
        <v>1052888.3778713802</v>
      </c>
      <c r="BC91" s="63">
        <f t="shared" ca="1" si="63"/>
        <v>136.50415955017124</v>
      </c>
      <c r="BD91" s="63">
        <f ca="1">SUM($BC$15:BC91)</f>
        <v>8014.616721817777</v>
      </c>
      <c r="BF91" s="52">
        <f ca="1">EXP(-AVERAGE(AV$15:AV91)*AS91)</f>
        <v>0.8133991790242282</v>
      </c>
      <c r="BH91" s="52">
        <f t="shared" ca="1" si="85"/>
        <v>77</v>
      </c>
      <c r="BI91" s="71">
        <f t="shared" ca="1" si="86"/>
        <v>47322</v>
      </c>
      <c r="BJ91" s="71">
        <f t="shared" ca="1" si="64"/>
        <v>47353</v>
      </c>
      <c r="BK91" s="72">
        <f t="shared" ca="1" si="65"/>
        <v>31</v>
      </c>
      <c r="BL91" s="73">
        <f ca="1">SUM(BK$15:BK91)/360</f>
        <v>6.5138888888888893</v>
      </c>
      <c r="BM91" s="74">
        <f t="shared" si="66"/>
        <v>25000000</v>
      </c>
      <c r="BN91" s="59">
        <f t="shared" si="87"/>
        <v>0.05</v>
      </c>
      <c r="BO91" s="57">
        <f>Volatilities_Resets!$E80*0.01</f>
        <v>2.9653200000000001E-2</v>
      </c>
      <c r="BP91" s="61">
        <f>IF(BN91=BQ$11,Volatilities_Resets!$AA80,IF(BN91&gt;=BP$11,IF(BN91&lt;BQ$11,(((Volatilities_Resets!$AA80-Volatilities_Resets!$Y80)/50)*((Calculator!BN91-Calculator!BP$11)*10000)+Volatilities_Resets!$Y80)),IF(BN91&gt;=BP$10,IF(BN91&lt;BQ$10,(((Volatilities_Resets!$Y80-Volatilities_Resets!$W80)/50)*((Calculator!BN91-Calculator!BP$10)*10000)+Volatilities_Resets!$W80)),IF(BN91&gt;=BP$9,IF(BN91&lt;BQ$9,(((Volatilities_Resets!$W80-Volatilities_Resets!$U80)/50)*((Calculator!BN91-Calculator!BP$9)*10000)+Volatilities_Resets!$U80)),IF(BN91&gt;=BP$8,IF(BN91&lt;BQ$8,(((Volatilities_Resets!$U80-Volatilities_Resets!$S80)/50)*((Calculator!BN91-Calculator!BP$8)*10000)+Volatilities_Resets!$S80)),IF(BN91&gt;=BP$7,IF(BN91&lt;BQ$7,(((Volatilities_Resets!$S80-Volatilities_Resets!$Q80)/50)*((Calculator!BN91-Calculator!BP$7)*10000)+Volatilities_Resets!$Q80)),IF(BN91&gt;=BP$6,IF(BN91&lt;BQ$6,(((Volatilities_Resets!$Q80-Volatilities_Resets!$O80)/50)*((Calculator!BN91-Calculator!BP$6)*10000)+Volatilities_Resets!$O80)),IF(BN91&gt;=BP$5,IF(BN91&lt;BQ$5,(((Volatilities_Resets!$O80-Volatilities_Resets!$M80)/50)*((Calculator!BN91-Calculator!BP$5)*10000)+Volatilities_Resets!$M80)),IF(BN91&gt;=BP$4,IF(BN91&lt;BQ$4,(((Volatilities_Resets!$M80-Volatilities_Resets!$K80)/50)*((Calculator!BN91-Calculator!BP$4)*10000)+Volatilities_Resets!$K80)),IF(BN91&gt;=BP$3,IF(BN91&lt;BQ$3,(((Volatilities_Resets!$K80-Volatilities_Resets!$I80)/50)*((Calculator!BN91-Calculator!BP$3)*10000)+Volatilities_Resets!$I80)),IF(BN91&gt;=BP$2,IF(BN91&lt;BQ$2,(((Volatilities_Resets!$I80-Volatilities_Resets!$G80)/50)*((Calculator!BN91-Calculator!BP$2)*10000)+Volatilities_Resets!$G80)),"Well, something broke...")))))))))))/10000</f>
        <v>1.2476000000000001E-2</v>
      </c>
      <c r="BQ91" s="63">
        <f t="shared" ca="1" si="88"/>
        <v>8822.3214539059682</v>
      </c>
      <c r="BR91" s="63">
        <f t="shared" ca="1" si="89"/>
        <v>3.5871701049364251E-4</v>
      </c>
      <c r="BS91" s="63">
        <f t="shared" ca="1" si="99"/>
        <v>608668.57497861562</v>
      </c>
      <c r="BV91" s="63">
        <f t="shared" ca="1" si="90"/>
        <v>118.43401824390706</v>
      </c>
      <c r="BW91" s="63">
        <f ca="1">SUM($BV$15:BV91)</f>
        <v>6890.2995091575731</v>
      </c>
      <c r="BY91" s="52">
        <f ca="1">EXP(-AVERAGE(BO$15:BO91)*BL91)</f>
        <v>0.8133991790242282</v>
      </c>
      <c r="CA91" s="52">
        <f t="shared" ca="1" si="91"/>
        <v>77</v>
      </c>
      <c r="CB91" s="71">
        <f t="shared" ca="1" si="92"/>
        <v>47322</v>
      </c>
      <c r="CC91" s="71">
        <f t="shared" ca="1" si="67"/>
        <v>47353</v>
      </c>
      <c r="CD91" s="72">
        <f t="shared" ca="1" si="68"/>
        <v>31</v>
      </c>
      <c r="CE91" s="73">
        <f ca="1">SUM(CD$15:CD91)/360</f>
        <v>6.5138888888888893</v>
      </c>
      <c r="CF91" s="74">
        <f t="shared" si="69"/>
        <v>25000000</v>
      </c>
      <c r="CG91" s="59">
        <f t="shared" si="93"/>
        <v>0.06</v>
      </c>
      <c r="CH91" s="57">
        <f>Volatilities_Resets!$E80*0.01</f>
        <v>2.9653200000000001E-2</v>
      </c>
      <c r="CI91" s="61">
        <f>IF(CG91=CJ$11,Volatilities_Resets!$AA80,IF(CG91&gt;=CI$11,IF(CG91&lt;CJ$11,(((Volatilities_Resets!$AA80-Volatilities_Resets!$Y80)/50)*((Calculator!CG91-Calculator!CI$11)*10000)+Volatilities_Resets!$Y80)),IF(CG91&gt;=CI$10,IF(CG91&lt;CJ$10,(((Volatilities_Resets!$Y80-Volatilities_Resets!$W80)/50)*((Calculator!CG91-Calculator!CI$10)*10000)+Volatilities_Resets!$W80)),IF(CG91&gt;=CI$9,IF(CG91&lt;CJ$9,(((Volatilities_Resets!$W80-Volatilities_Resets!$U80)/50)*((Calculator!CG91-Calculator!CI$9)*10000)+Volatilities_Resets!$U80)),IF(CG91&gt;=CI$8,IF(CG91&lt;CJ$8,(((Volatilities_Resets!$U80-Volatilities_Resets!$S80)/50)*((Calculator!CG91-Calculator!CI$8)*10000)+Volatilities_Resets!$S80)),IF(CG91&gt;=CI$7,IF(CG91&lt;CJ$7,(((Volatilities_Resets!$S80-Volatilities_Resets!$Q80)/50)*((Calculator!CG91-Calculator!CI$7)*10000)+Volatilities_Resets!$Q80)),IF(CG91&gt;=CI$6,IF(CG91&lt;CJ$6,(((Volatilities_Resets!$Q80-Volatilities_Resets!$O80)/50)*((Calculator!CG91-Calculator!CI$6)*10000)+Volatilities_Resets!$O80)),IF(CG91&gt;=CI$5,IF(CG91&lt;CJ$5,(((Volatilities_Resets!$O80-Volatilities_Resets!$M80)/50)*((Calculator!CG91-Calculator!CI$5)*10000)+Volatilities_Resets!$M80)),IF(CG91&gt;=CI$4,IF(CG91&lt;CJ$4,(((Volatilities_Resets!$M80-Volatilities_Resets!$K80)/50)*((Calculator!CG91-Calculator!CI$4)*10000)+Volatilities_Resets!$K80)),IF(CG91&gt;=CI$3,IF(CG91&lt;CJ$3,(((Volatilities_Resets!$K80-Volatilities_Resets!$I80)/50)*((Calculator!CG91-Calculator!CI$3)*10000)+Volatilities_Resets!$I80)),IF(CG91&gt;=CI$2,IF(CG91&lt;CJ$2,(((Volatilities_Resets!$I80-Volatilities_Resets!$G80)/50)*((Calculator!CG91-Calculator!CI$2)*10000)+Volatilities_Resets!$G80)),"Well, something broke...")))))))))))/10000</f>
        <v>1.3606E-2</v>
      </c>
      <c r="CJ91" s="63">
        <f t="shared" ca="1" si="94"/>
        <v>6404.5728090390121</v>
      </c>
      <c r="CK91" s="63">
        <f t="shared" ca="1" si="95"/>
        <v>2.6106457385481337E-4</v>
      </c>
      <c r="CL91" s="63">
        <f t="shared" ca="1" si="100"/>
        <v>374767.01191078103</v>
      </c>
      <c r="CO91" s="63">
        <f t="shared" ca="1" si="96"/>
        <v>99.268486272152359</v>
      </c>
      <c r="CP91" s="63">
        <f ca="1">SUM($CO$15:CO91)</f>
        <v>5421.4165899872523</v>
      </c>
      <c r="CR91" s="52">
        <f ca="1">EXP(-AVERAGE(CH$15:CH91)*CE91)</f>
        <v>0.8133991790242282</v>
      </c>
      <c r="CT91"/>
      <c r="CU91"/>
      <c r="CV91"/>
      <c r="CW91"/>
      <c r="CX91"/>
      <c r="CY91"/>
      <c r="CZ91"/>
      <c r="DA91"/>
      <c r="DB91"/>
      <c r="DC91"/>
      <c r="DD91"/>
      <c r="DE91"/>
      <c r="DF91"/>
      <c r="DG91"/>
      <c r="DH91"/>
      <c r="DI91"/>
      <c r="DJ91"/>
      <c r="DK91"/>
      <c r="DL91"/>
    </row>
    <row r="92" spans="2:116" ht="15.75" customHeight="1">
      <c r="B92" s="52">
        <v>7</v>
      </c>
      <c r="C92" s="52">
        <f t="shared" ca="1" si="52"/>
        <v>78</v>
      </c>
      <c r="D92" s="71">
        <f t="shared" ca="1" si="70"/>
        <v>47353</v>
      </c>
      <c r="E92" s="71">
        <f t="shared" ca="1" si="53"/>
        <v>47384</v>
      </c>
      <c r="F92" s="72">
        <f t="shared" ca="1" si="54"/>
        <v>31</v>
      </c>
      <c r="G92" s="73">
        <f ca="1">SUM($F$15:F92)/360</f>
        <v>6.6</v>
      </c>
      <c r="H92" s="74">
        <f t="shared" si="56"/>
        <v>25000000</v>
      </c>
      <c r="I92" s="59">
        <f>IF('Cap Pricer'!$E$22=DataValidation!$C$2,'Cap Pricer'!$E$23,IF('Cap Pricer'!$E$22=DataValidation!$C$3,VLOOKUP($B92,'Cap Pricer'!$C$25:$E$31,3),""))</f>
        <v>0.02</v>
      </c>
      <c r="J92" s="57">
        <f>Volatilities_Resets!$E81*0.01</f>
        <v>2.9650800000000001E-2</v>
      </c>
      <c r="K92" s="61">
        <f>IF(I92=L$11,Volatilities_Resets!$AA81,IF(I92&gt;=K$11,IF(I92&lt;L$11,(((Volatilities_Resets!$AA81-Volatilities_Resets!$Y81)/50)*((Calculator!I92-Calculator!K$11)*10000)+Volatilities_Resets!$Y81)),IF(I92&gt;=K$10,IF(I92&lt;L$10,(((Volatilities_Resets!$Y81-Volatilities_Resets!$W81)/50)*((Calculator!I92-Calculator!K$10)*10000)+Volatilities_Resets!$W81)),IF(I92&gt;=K$9,IF(I92&lt;L$9,(((Volatilities_Resets!$W81-Volatilities_Resets!$U81)/50)*((Calculator!I92-Calculator!K$9)*10000)+Volatilities_Resets!$U81)),IF(I92&gt;=K$8,IF(I92&lt;L$8,(((Volatilities_Resets!$U81-Volatilities_Resets!$S81)/50)*((Calculator!I92-Calculator!K$8)*10000)+Volatilities_Resets!$S81)),IF(I92&gt;=K$7,IF(I92&lt;L$7,(((Volatilities_Resets!$S81-Volatilities_Resets!$Q81)/50)*((Calculator!I92-Calculator!K$7)*10000)+Volatilities_Resets!$Q81)),IF(I92&gt;=K$6,IF(I92&lt;L$6,(((Volatilities_Resets!$Q81-Volatilities_Resets!$O81)/50)*((Calculator!I92-Calculator!K$6)*10000)+Volatilities_Resets!$O81)),IF(I92&gt;=K$5,IF(I92&lt;L$5,(((Volatilities_Resets!$O81-Volatilities_Resets!$M81)/50)*((Calculator!I92-Calculator!K$5)*10000)+Volatilities_Resets!$M81)),IF(I92&gt;=K$4,IF(I92&lt;L$4,(((Volatilities_Resets!$M81-Volatilities_Resets!$K81)/50)*((Calculator!I92-Calculator!K$4)*10000)+Volatilities_Resets!$K81)),IF(I92&gt;=K$3,IF(I92&lt;L$3,(((Volatilities_Resets!$K81-Volatilities_Resets!$I81)/50)*((Calculator!I92-Calculator!K$3)*10000)+Volatilities_Resets!$I81)),IF(I92&gt;=K$2,IF(I92&lt;L$2,(((Volatilities_Resets!$I81-Volatilities_Resets!$G81)/50)*((Calculator!I92-Calculator!K$2)*10000)+Volatilities_Resets!$G81)),"Well, something broke...")))))))))))/10000</f>
        <v>1.116E-2</v>
      </c>
      <c r="L92" s="47">
        <f t="shared" ca="1" si="71"/>
        <v>29526.645694957577</v>
      </c>
      <c r="M92" s="63">
        <f t="shared" ca="1" si="72"/>
        <v>1.1878352112578404E-3</v>
      </c>
      <c r="N92" s="63">
        <f t="shared" ca="1" si="55"/>
        <v>2615925.3771554036</v>
      </c>
      <c r="Q92" s="63">
        <f t="shared" ca="1" si="73"/>
        <v>137.30382966649955</v>
      </c>
      <c r="R92" s="63">
        <f ca="1">SUM($Q$15:Q92)</f>
        <v>7965.6002161968008</v>
      </c>
      <c r="T92" s="52">
        <f ca="1">EXP(-AVERAGE(J$15:J92)*G92)</f>
        <v>0.81132251105115316</v>
      </c>
      <c r="U92" s="57"/>
      <c r="V92" s="52">
        <f t="shared" ca="1" si="74"/>
        <v>78</v>
      </c>
      <c r="W92" s="71">
        <f t="shared" ca="1" si="75"/>
        <v>47353</v>
      </c>
      <c r="X92" s="71">
        <f t="shared" ca="1" si="57"/>
        <v>47384</v>
      </c>
      <c r="Y92" s="72">
        <f t="shared" ca="1" si="58"/>
        <v>31</v>
      </c>
      <c r="Z92" s="73">
        <f ca="1">SUM(Y$15:Y92)/360</f>
        <v>6.6</v>
      </c>
      <c r="AA92" s="74">
        <f t="shared" si="59"/>
        <v>25000000</v>
      </c>
      <c r="AB92" s="59">
        <f t="shared" si="76"/>
        <v>0.03</v>
      </c>
      <c r="AC92" s="57">
        <f>Volatilities_Resets!$E81*0.01</f>
        <v>2.9650800000000001E-2</v>
      </c>
      <c r="AD92" s="61">
        <f>IF(AB92=AE$11,Volatilities_Resets!$AA81,IF(AB92&gt;=AD$11,IF(AB92&lt;AE$11,(((Volatilities_Resets!$AA81-Volatilities_Resets!$Y81)/50)*((Calculator!AB92-Calculator!AD$11)*10000)+Volatilities_Resets!$Y81)),IF(AB92&gt;=AD$10,IF(AB92&lt;AE$10,(((Volatilities_Resets!$Y81-Volatilities_Resets!$W81)/50)*((Calculator!AB92-Calculator!AD$10)*10000)+Volatilities_Resets!$W81)),IF(AB92&gt;=AD$9,IF(AB92&lt;AE$9,(((Volatilities_Resets!$W81-Volatilities_Resets!$U81)/50)*((Calculator!AB92-Calculator!AD$9)*10000)+Volatilities_Resets!$U81)),IF(AB92&gt;=AD$8,IF(AB92&lt;AE$8,(((Volatilities_Resets!$U81-Volatilities_Resets!$S81)/50)*((Calculator!AB92-Calculator!AD$8)*10000)+Volatilities_Resets!$S81)),IF(AB92&gt;=AD$7,IF(AB92&lt;AE$7,(((Volatilities_Resets!$S81-Volatilities_Resets!$Q81)/50)*((Calculator!AB92-Calculator!AD$7)*10000)+Volatilities_Resets!$Q81)),IF(AB92&gt;=AD$6,IF(AB92&lt;AE$6,(((Volatilities_Resets!$Q81-Volatilities_Resets!$O81)/50)*((Calculator!AB92-Calculator!AD$6)*10000)+Volatilities_Resets!$O81)),IF(AB92&gt;=AD$5,IF(AB92&lt;AE$5,(((Volatilities_Resets!$O81-Volatilities_Resets!$M81)/50)*((Calculator!AB92-Calculator!AD$5)*10000)+Volatilities_Resets!$M81)),IF(AB92&gt;=AD$4,IF(AB92&lt;AE$4,(((Volatilities_Resets!$M81-Volatilities_Resets!$K81)/50)*((Calculator!AB92-Calculator!AD$4)*10000)+Volatilities_Resets!$K81)),IF(AB92&gt;=AD$3,IF(AB92&lt;AE$3,(((Volatilities_Resets!$K81-Volatilities_Resets!$I81)/50)*((Calculator!AB92-Calculator!AD$3)*10000)+Volatilities_Resets!$I81)),IF(AB92&gt;=AD$2,IF(AB92&lt;AE$2,(((Volatilities_Resets!$I81-Volatilities_Resets!$G81)/50)*((Calculator!AB92-Calculator!AD$2)*10000)+Volatilities_Resets!$G81)),"Well, something broke...")))))))))))/10000</f>
        <v>1.1140000000000001E-2</v>
      </c>
      <c r="AE92" s="63">
        <f t="shared" ca="1" si="77"/>
        <v>19638.126356245481</v>
      </c>
      <c r="AF92" s="63">
        <f t="shared" ca="1" si="78"/>
        <v>7.9268488426583123E-4</v>
      </c>
      <c r="AG92" s="63">
        <f t="shared" ca="1" si="97"/>
        <v>1725178.8632487759</v>
      </c>
      <c r="AJ92" s="63">
        <f t="shared" ca="1" si="79"/>
        <v>145.22328168225781</v>
      </c>
      <c r="AK92" s="63">
        <f ca="1">SUM($AJ$15:AJ92)</f>
        <v>8563.6797349494936</v>
      </c>
      <c r="AM92" s="52">
        <f ca="1">EXP(-AVERAGE(AC$15:AC92)*Z92)</f>
        <v>0.81132251105115316</v>
      </c>
      <c r="AO92" s="52">
        <f t="shared" ca="1" si="80"/>
        <v>78</v>
      </c>
      <c r="AP92" s="71">
        <f t="shared" ca="1" si="81"/>
        <v>47353</v>
      </c>
      <c r="AQ92" s="71">
        <f t="shared" ca="1" si="60"/>
        <v>47384</v>
      </c>
      <c r="AR92" s="72">
        <f t="shared" ca="1" si="61"/>
        <v>31</v>
      </c>
      <c r="AS92" s="73">
        <f ca="1">SUM(AR$15:AR92)/360</f>
        <v>6.6</v>
      </c>
      <c r="AT92" s="74">
        <f t="shared" si="62"/>
        <v>25000000</v>
      </c>
      <c r="AU92" s="59">
        <f t="shared" si="82"/>
        <v>0.04</v>
      </c>
      <c r="AV92" s="57">
        <f>Volatilities_Resets!$E81*0.01</f>
        <v>2.9650800000000001E-2</v>
      </c>
      <c r="AW92" s="61">
        <f>IF(AU92=AX$11,Volatilities_Resets!$AA81,IF(AU92&gt;=AW$11,IF(AU92&lt;AX$11,(((Volatilities_Resets!$AA81-Volatilities_Resets!$Y81)/50)*((Calculator!AU92-Calculator!AW$11)*10000)+Volatilities_Resets!$Y81)),IF(AU92&gt;=AW$10,IF(AU92&lt;AX$10,(((Volatilities_Resets!$Y81-Volatilities_Resets!$W81)/50)*((Calculator!AU92-Calculator!AW$10)*10000)+Volatilities_Resets!$W81)),IF(AU92&gt;=AW$9,IF(AU92&lt;AX$9,(((Volatilities_Resets!$W81-Volatilities_Resets!$U81)/50)*((Calculator!AU92-Calculator!AW$9)*10000)+Volatilities_Resets!$U81)),IF(AU92&gt;=AW$8,IF(AU92&lt;AX$8,(((Volatilities_Resets!$U81-Volatilities_Resets!$S81)/50)*((Calculator!AU92-Calculator!AW$8)*10000)+Volatilities_Resets!$S81)),IF(AU92&gt;=AW$7,IF(AU92&lt;AX$7,(((Volatilities_Resets!$S81-Volatilities_Resets!$Q81)/50)*((Calculator!AU92-Calculator!AW$7)*10000)+Volatilities_Resets!$Q81)),IF(AU92&gt;=AW$6,IF(AU92&lt;AX$6,(((Volatilities_Resets!$Q81-Volatilities_Resets!$O81)/50)*((Calculator!AU92-Calculator!AW$6)*10000)+Volatilities_Resets!$O81)),IF(AU92&gt;=AW$5,IF(AU92&lt;AX$5,(((Volatilities_Resets!$O81-Volatilities_Resets!$M81)/50)*((Calculator!AU92-Calculator!AW$5)*10000)+Volatilities_Resets!$M81)),IF(AU92&gt;=AW$4,IF(AU92&lt;AX$4,(((Volatilities_Resets!$M81-Volatilities_Resets!$K81)/50)*((Calculator!AU92-Calculator!AW$4)*10000)+Volatilities_Resets!$K81)),IF(AU92&gt;=AW$3,IF(AU92&lt;AX$3,(((Volatilities_Resets!$K81-Volatilities_Resets!$I81)/50)*((Calculator!AU92-Calculator!AW$3)*10000)+Volatilities_Resets!$I81)),IF(AU92&gt;=AW$2,IF(AU92&lt;AX$2,(((Volatilities_Resets!$I81-Volatilities_Resets!$G81)/50)*((Calculator!AU92-Calculator!AW$2)*10000)+Volatilities_Resets!$G81)),"Well, something broke...")))))))))))/10000</f>
        <v>1.1601E-2</v>
      </c>
      <c r="AX92" s="63">
        <f t="shared" ca="1" si="83"/>
        <v>12968.499093969269</v>
      </c>
      <c r="AY92" s="63">
        <f t="shared" ca="1" si="84"/>
        <v>5.2548485142902179E-4</v>
      </c>
      <c r="AZ92" s="63">
        <f t="shared" ca="1" si="98"/>
        <v>1065856.8769653495</v>
      </c>
      <c r="BC92" s="63">
        <f t="shared" ca="1" si="63"/>
        <v>136.80698003465091</v>
      </c>
      <c r="BD92" s="63">
        <f ca="1">SUM($BC$15:BC92)</f>
        <v>8151.4237018524282</v>
      </c>
      <c r="BF92" s="52">
        <f ca="1">EXP(-AVERAGE(AV$15:AV92)*AS92)</f>
        <v>0.81132251105115316</v>
      </c>
      <c r="BH92" s="52">
        <f t="shared" ca="1" si="85"/>
        <v>78</v>
      </c>
      <c r="BI92" s="71">
        <f t="shared" ca="1" si="86"/>
        <v>47353</v>
      </c>
      <c r="BJ92" s="71">
        <f t="shared" ca="1" si="64"/>
        <v>47384</v>
      </c>
      <c r="BK92" s="72">
        <f t="shared" ca="1" si="65"/>
        <v>31</v>
      </c>
      <c r="BL92" s="73">
        <f ca="1">SUM(BK$15:BK92)/360</f>
        <v>6.6</v>
      </c>
      <c r="BM92" s="74">
        <f t="shared" si="66"/>
        <v>25000000</v>
      </c>
      <c r="BN92" s="59">
        <f t="shared" si="87"/>
        <v>0.05</v>
      </c>
      <c r="BO92" s="57">
        <f>Volatilities_Resets!$E81*0.01</f>
        <v>2.9650800000000001E-2</v>
      </c>
      <c r="BP92" s="61">
        <f>IF(BN92=BQ$11,Volatilities_Resets!$AA81,IF(BN92&gt;=BP$11,IF(BN92&lt;BQ$11,(((Volatilities_Resets!$AA81-Volatilities_Resets!$Y81)/50)*((Calculator!BN92-Calculator!BP$11)*10000)+Volatilities_Resets!$Y81)),IF(BN92&gt;=BP$10,IF(BN92&lt;BQ$10,(((Volatilities_Resets!$Y81-Volatilities_Resets!$W81)/50)*((Calculator!BN92-Calculator!BP$10)*10000)+Volatilities_Resets!$W81)),IF(BN92&gt;=BP$9,IF(BN92&lt;BQ$9,(((Volatilities_Resets!$W81-Volatilities_Resets!$U81)/50)*((Calculator!BN92-Calculator!BP$9)*10000)+Volatilities_Resets!$U81)),IF(BN92&gt;=BP$8,IF(BN92&lt;BQ$8,(((Volatilities_Resets!$U81-Volatilities_Resets!$S81)/50)*((Calculator!BN92-Calculator!BP$8)*10000)+Volatilities_Resets!$S81)),IF(BN92&gt;=BP$7,IF(BN92&lt;BQ$7,(((Volatilities_Resets!$S81-Volatilities_Resets!$Q81)/50)*((Calculator!BN92-Calculator!BP$7)*10000)+Volatilities_Resets!$Q81)),IF(BN92&gt;=BP$6,IF(BN92&lt;BQ$6,(((Volatilities_Resets!$Q81-Volatilities_Resets!$O81)/50)*((Calculator!BN92-Calculator!BP$6)*10000)+Volatilities_Resets!$O81)),IF(BN92&gt;=BP$5,IF(BN92&lt;BQ$5,(((Volatilities_Resets!$O81-Volatilities_Resets!$M81)/50)*((Calculator!BN92-Calculator!BP$5)*10000)+Volatilities_Resets!$M81)),IF(BN92&gt;=BP$4,IF(BN92&lt;BQ$4,(((Volatilities_Resets!$M81-Volatilities_Resets!$K81)/50)*((Calculator!BN92-Calculator!BP$4)*10000)+Volatilities_Resets!$K81)),IF(BN92&gt;=BP$3,IF(BN92&lt;BQ$3,(((Volatilities_Resets!$K81-Volatilities_Resets!$I81)/50)*((Calculator!BN92-Calculator!BP$3)*10000)+Volatilities_Resets!$I81)),IF(BN92&gt;=BP$2,IF(BN92&lt;BQ$2,(((Volatilities_Resets!$I81-Volatilities_Resets!$G81)/50)*((Calculator!BN92-Calculator!BP$2)*10000)+Volatilities_Resets!$G81)),"Well, something broke...")))))))))))/10000</f>
        <v>1.2476000000000001E-2</v>
      </c>
      <c r="BQ92" s="63">
        <f t="shared" ca="1" si="88"/>
        <v>8918.0325834127834</v>
      </c>
      <c r="BR92" s="63">
        <f t="shared" ca="1" si="89"/>
        <v>3.6258405455152746E-4</v>
      </c>
      <c r="BS92" s="63">
        <f t="shared" ca="1" si="99"/>
        <v>617586.60756202845</v>
      </c>
      <c r="BV92" s="63">
        <f t="shared" ca="1" si="90"/>
        <v>118.91455093587686</v>
      </c>
      <c r="BW92" s="63">
        <f ca="1">SUM($BV$15:BV92)</f>
        <v>7009.2140600934499</v>
      </c>
      <c r="BY92" s="52">
        <f ca="1">EXP(-AVERAGE(BO$15:BO92)*BL92)</f>
        <v>0.81132251105115316</v>
      </c>
      <c r="CA92" s="52">
        <f t="shared" ca="1" si="91"/>
        <v>78</v>
      </c>
      <c r="CB92" s="71">
        <f t="shared" ca="1" si="92"/>
        <v>47353</v>
      </c>
      <c r="CC92" s="71">
        <f t="shared" ca="1" si="67"/>
        <v>47384</v>
      </c>
      <c r="CD92" s="72">
        <f t="shared" ca="1" si="68"/>
        <v>31</v>
      </c>
      <c r="CE92" s="73">
        <f ca="1">SUM(CD$15:CD92)/360</f>
        <v>6.6</v>
      </c>
      <c r="CF92" s="74">
        <f t="shared" si="69"/>
        <v>25000000</v>
      </c>
      <c r="CG92" s="59">
        <f t="shared" si="93"/>
        <v>0.06</v>
      </c>
      <c r="CH92" s="57">
        <f>Volatilities_Resets!$E81*0.01</f>
        <v>2.9650800000000001E-2</v>
      </c>
      <c r="CI92" s="61">
        <f>IF(CG92=CJ$11,Volatilities_Resets!$AA81,IF(CG92&gt;=CI$11,IF(CG92&lt;CJ$11,(((Volatilities_Resets!$AA81-Volatilities_Resets!$Y81)/50)*((Calculator!CG92-Calculator!CI$11)*10000)+Volatilities_Resets!$Y81)),IF(CG92&gt;=CI$10,IF(CG92&lt;CJ$10,(((Volatilities_Resets!$Y81-Volatilities_Resets!$W81)/50)*((Calculator!CG92-Calculator!CI$10)*10000)+Volatilities_Resets!$W81)),IF(CG92&gt;=CI$9,IF(CG92&lt;CJ$9,(((Volatilities_Resets!$W81-Volatilities_Resets!$U81)/50)*((Calculator!CG92-Calculator!CI$9)*10000)+Volatilities_Resets!$U81)),IF(CG92&gt;=CI$8,IF(CG92&lt;CJ$8,(((Volatilities_Resets!$U81-Volatilities_Resets!$S81)/50)*((Calculator!CG92-Calculator!CI$8)*10000)+Volatilities_Resets!$S81)),IF(CG92&gt;=CI$7,IF(CG92&lt;CJ$7,(((Volatilities_Resets!$S81-Volatilities_Resets!$Q81)/50)*((Calculator!CG92-Calculator!CI$7)*10000)+Volatilities_Resets!$Q81)),IF(CG92&gt;=CI$6,IF(CG92&lt;CJ$6,(((Volatilities_Resets!$Q81-Volatilities_Resets!$O81)/50)*((Calculator!CG92-Calculator!CI$6)*10000)+Volatilities_Resets!$O81)),IF(CG92&gt;=CI$5,IF(CG92&lt;CJ$5,(((Volatilities_Resets!$O81-Volatilities_Resets!$M81)/50)*((Calculator!CG92-Calculator!CI$5)*10000)+Volatilities_Resets!$M81)),IF(CG92&gt;=CI$4,IF(CG92&lt;CJ$4,(((Volatilities_Resets!$M81-Volatilities_Resets!$K81)/50)*((Calculator!CG92-Calculator!CI$4)*10000)+Volatilities_Resets!$K81)),IF(CG92&gt;=CI$3,IF(CG92&lt;CJ$3,(((Volatilities_Resets!$K81-Volatilities_Resets!$I81)/50)*((Calculator!CG92-Calculator!CI$3)*10000)+Volatilities_Resets!$I81)),IF(CG92&gt;=CI$2,IF(CG92&lt;CJ$2,(((Volatilities_Resets!$I81-Volatilities_Resets!$G81)/50)*((Calculator!CG92-Calculator!CI$2)*10000)+Volatilities_Resets!$G81)),"Well, something broke...")))))))))))/10000</f>
        <v>1.3606E-2</v>
      </c>
      <c r="CJ92" s="63">
        <f t="shared" ca="1" si="94"/>
        <v>6496.4986660207378</v>
      </c>
      <c r="CK92" s="63">
        <f t="shared" ca="1" si="95"/>
        <v>2.6478523243921514E-4</v>
      </c>
      <c r="CL92" s="63">
        <f t="shared" ca="1" si="100"/>
        <v>381263.51057680178</v>
      </c>
      <c r="CO92" s="63">
        <f t="shared" ca="1" si="96"/>
        <v>99.899881039770392</v>
      </c>
      <c r="CP92" s="63">
        <f ca="1">SUM($CO$15:CO92)</f>
        <v>5521.316471027023</v>
      </c>
      <c r="CR92" s="52">
        <f ca="1">EXP(-AVERAGE(CH$15:CH92)*CE92)</f>
        <v>0.81132251105115316</v>
      </c>
      <c r="CT92"/>
      <c r="CU92"/>
      <c r="CV92"/>
      <c r="CW92"/>
      <c r="CX92"/>
      <c r="CY92"/>
      <c r="CZ92"/>
      <c r="DA92"/>
      <c r="DB92"/>
      <c r="DC92"/>
      <c r="DD92"/>
      <c r="DE92"/>
      <c r="DF92"/>
      <c r="DG92"/>
      <c r="DH92"/>
      <c r="DI92"/>
      <c r="DJ92"/>
      <c r="DK92"/>
      <c r="DL92"/>
    </row>
    <row r="93" spans="2:116" ht="15.75" customHeight="1">
      <c r="B93" s="52">
        <v>7</v>
      </c>
      <c r="C93" s="52">
        <f t="shared" ca="1" si="52"/>
        <v>79</v>
      </c>
      <c r="D93" s="71">
        <f t="shared" ca="1" si="70"/>
        <v>47384</v>
      </c>
      <c r="E93" s="71">
        <f t="shared" ca="1" si="53"/>
        <v>47414</v>
      </c>
      <c r="F93" s="72">
        <f t="shared" ca="1" si="54"/>
        <v>30</v>
      </c>
      <c r="G93" s="73">
        <f ca="1">SUM($F$15:F93)/360</f>
        <v>6.6833333333333336</v>
      </c>
      <c r="H93" s="74">
        <f t="shared" si="56"/>
        <v>25000000</v>
      </c>
      <c r="I93" s="59">
        <f>IF('Cap Pricer'!$E$22=DataValidation!$C$2,'Cap Pricer'!$E$23,IF('Cap Pricer'!$E$22=DataValidation!$C$3,VLOOKUP($B93,'Cap Pricer'!$C$25:$E$31,3),""))</f>
        <v>0.02</v>
      </c>
      <c r="J93" s="57">
        <f>Volatilities_Resets!$E82*0.01</f>
        <v>2.9649600000000002E-2</v>
      </c>
      <c r="K93" s="61">
        <f>IF(I93=L$11,Volatilities_Resets!$AA82,IF(I93&gt;=K$11,IF(I93&lt;L$11,(((Volatilities_Resets!$AA82-Volatilities_Resets!$Y82)/50)*((Calculator!I93-Calculator!K$11)*10000)+Volatilities_Resets!$Y82)),IF(I93&gt;=K$10,IF(I93&lt;L$10,(((Volatilities_Resets!$Y82-Volatilities_Resets!$W82)/50)*((Calculator!I93-Calculator!K$10)*10000)+Volatilities_Resets!$W82)),IF(I93&gt;=K$9,IF(I93&lt;L$9,(((Volatilities_Resets!$W82-Volatilities_Resets!$U82)/50)*((Calculator!I93-Calculator!K$9)*10000)+Volatilities_Resets!$U82)),IF(I93&gt;=K$8,IF(I93&lt;L$8,(((Volatilities_Resets!$U82-Volatilities_Resets!$S82)/50)*((Calculator!I93-Calculator!K$8)*10000)+Volatilities_Resets!$S82)),IF(I93&gt;=K$7,IF(I93&lt;L$7,(((Volatilities_Resets!$S82-Volatilities_Resets!$Q82)/50)*((Calculator!I93-Calculator!K$7)*10000)+Volatilities_Resets!$Q82)),IF(I93&gt;=K$6,IF(I93&lt;L$6,(((Volatilities_Resets!$Q82-Volatilities_Resets!$O82)/50)*((Calculator!I93-Calculator!K$6)*10000)+Volatilities_Resets!$O82)),IF(I93&gt;=K$5,IF(I93&lt;L$5,(((Volatilities_Resets!$O82-Volatilities_Resets!$M82)/50)*((Calculator!I93-Calculator!K$5)*10000)+Volatilities_Resets!$M82)),IF(I93&gt;=K$4,IF(I93&lt;L$4,(((Volatilities_Resets!$M82-Volatilities_Resets!$K82)/50)*((Calculator!I93-Calculator!K$4)*10000)+Volatilities_Resets!$K82)),IF(I93&gt;=K$3,IF(I93&lt;L$3,(((Volatilities_Resets!$K82-Volatilities_Resets!$I82)/50)*((Calculator!I93-Calculator!K$3)*10000)+Volatilities_Resets!$I82)),IF(I93&gt;=K$2,IF(I93&lt;L$2,(((Volatilities_Resets!$I82-Volatilities_Resets!$G82)/50)*((Calculator!I93-Calculator!K$2)*10000)+Volatilities_Resets!$G82)),"Well, something broke...")))))))))))/10000</f>
        <v>1.116E-2</v>
      </c>
      <c r="L93" s="47">
        <f t="shared" ca="1" si="71"/>
        <v>28617.180545353098</v>
      </c>
      <c r="M93" s="63">
        <f t="shared" ca="1" si="72"/>
        <v>1.1512679110160331E-3</v>
      </c>
      <c r="N93" s="63">
        <f t="shared" ca="1" si="55"/>
        <v>2644542.5577007569</v>
      </c>
      <c r="Q93" s="63">
        <f t="shared" ca="1" si="73"/>
        <v>133.14748771685279</v>
      </c>
      <c r="R93" s="63">
        <f ca="1">SUM($Q$15:Q93)</f>
        <v>8098.7477039136538</v>
      </c>
      <c r="T93" s="52">
        <f ca="1">EXP(-AVERAGE(J$15:J93)*G93)</f>
        <v>0.80932245016660376</v>
      </c>
      <c r="U93" s="57"/>
      <c r="V93" s="52">
        <f t="shared" ca="1" si="74"/>
        <v>79</v>
      </c>
      <c r="W93" s="71">
        <f t="shared" ca="1" si="75"/>
        <v>47384</v>
      </c>
      <c r="X93" s="71">
        <f t="shared" ca="1" si="57"/>
        <v>47414</v>
      </c>
      <c r="Y93" s="72">
        <f t="shared" ca="1" si="58"/>
        <v>30</v>
      </c>
      <c r="Z93" s="73">
        <f ca="1">SUM(Y$15:Y93)/360</f>
        <v>6.6833333333333336</v>
      </c>
      <c r="AA93" s="74">
        <f t="shared" si="59"/>
        <v>25000000</v>
      </c>
      <c r="AB93" s="59">
        <f t="shared" si="76"/>
        <v>0.03</v>
      </c>
      <c r="AC93" s="57">
        <f>Volatilities_Resets!$E82*0.01</f>
        <v>2.9649600000000002E-2</v>
      </c>
      <c r="AD93" s="61">
        <f>IF(AB93=AE$11,Volatilities_Resets!$AA82,IF(AB93&gt;=AD$11,IF(AB93&lt;AE$11,(((Volatilities_Resets!$AA82-Volatilities_Resets!$Y82)/50)*((Calculator!AB93-Calculator!AD$11)*10000)+Volatilities_Resets!$Y82)),IF(AB93&gt;=AD$10,IF(AB93&lt;AE$10,(((Volatilities_Resets!$Y82-Volatilities_Resets!$W82)/50)*((Calculator!AB93-Calculator!AD$10)*10000)+Volatilities_Resets!$W82)),IF(AB93&gt;=AD$9,IF(AB93&lt;AE$9,(((Volatilities_Resets!$W82-Volatilities_Resets!$U82)/50)*((Calculator!AB93-Calculator!AD$9)*10000)+Volatilities_Resets!$U82)),IF(AB93&gt;=AD$8,IF(AB93&lt;AE$8,(((Volatilities_Resets!$U82-Volatilities_Resets!$S82)/50)*((Calculator!AB93-Calculator!AD$8)*10000)+Volatilities_Resets!$S82)),IF(AB93&gt;=AD$7,IF(AB93&lt;AE$7,(((Volatilities_Resets!$S82-Volatilities_Resets!$Q82)/50)*((Calculator!AB93-Calculator!AD$7)*10000)+Volatilities_Resets!$Q82)),IF(AB93&gt;=AD$6,IF(AB93&lt;AE$6,(((Volatilities_Resets!$Q82-Volatilities_Resets!$O82)/50)*((Calculator!AB93-Calculator!AD$6)*10000)+Volatilities_Resets!$O82)),IF(AB93&gt;=AD$5,IF(AB93&lt;AE$5,(((Volatilities_Resets!$O82-Volatilities_Resets!$M82)/50)*((Calculator!AB93-Calculator!AD$5)*10000)+Volatilities_Resets!$M82)),IF(AB93&gt;=AD$4,IF(AB93&lt;AE$4,(((Volatilities_Resets!$M82-Volatilities_Resets!$K82)/50)*((Calculator!AB93-Calculator!AD$4)*10000)+Volatilities_Resets!$K82)),IF(AB93&gt;=AD$3,IF(AB93&lt;AE$3,(((Volatilities_Resets!$K82-Volatilities_Resets!$I82)/50)*((Calculator!AB93-Calculator!AD$3)*10000)+Volatilities_Resets!$I82)),IF(AB93&gt;=AD$2,IF(AB93&lt;AE$2,(((Volatilities_Resets!$I82-Volatilities_Resets!$G82)/50)*((Calculator!AB93-Calculator!AD$2)*10000)+Volatilities_Resets!$G82)),"Well, something broke...")))))))))))/10000</f>
        <v>1.1140000000000001E-2</v>
      </c>
      <c r="AE93" s="63">
        <f t="shared" ca="1" si="77"/>
        <v>19077.928898170823</v>
      </c>
      <c r="AF93" s="63">
        <f t="shared" ca="1" si="78"/>
        <v>7.7007244378977989E-4</v>
      </c>
      <c r="AG93" s="63">
        <f t="shared" ca="1" si="97"/>
        <v>1744256.7921469468</v>
      </c>
      <c r="AJ93" s="63">
        <f t="shared" ca="1" si="79"/>
        <v>140.72676537135598</v>
      </c>
      <c r="AK93" s="63">
        <f ca="1">SUM($AJ$15:AJ93)</f>
        <v>8704.4065003208489</v>
      </c>
      <c r="AM93" s="52">
        <f ca="1">EXP(-AVERAGE(AC$15:AC93)*Z93)</f>
        <v>0.80932245016660376</v>
      </c>
      <c r="AO93" s="52">
        <f t="shared" ca="1" si="80"/>
        <v>79</v>
      </c>
      <c r="AP93" s="71">
        <f t="shared" ca="1" si="81"/>
        <v>47384</v>
      </c>
      <c r="AQ93" s="71">
        <f t="shared" ca="1" si="60"/>
        <v>47414</v>
      </c>
      <c r="AR93" s="72">
        <f t="shared" ca="1" si="61"/>
        <v>30</v>
      </c>
      <c r="AS93" s="73">
        <f ca="1">SUM(AR$15:AR93)/360</f>
        <v>6.6833333333333336</v>
      </c>
      <c r="AT93" s="74">
        <f t="shared" si="62"/>
        <v>25000000</v>
      </c>
      <c r="AU93" s="59">
        <f t="shared" si="82"/>
        <v>0.04</v>
      </c>
      <c r="AV93" s="57">
        <f>Volatilities_Resets!$E82*0.01</f>
        <v>2.9649600000000002E-2</v>
      </c>
      <c r="AW93" s="61">
        <f>IF(AU93=AX$11,Volatilities_Resets!$AA82,IF(AU93&gt;=AW$11,IF(AU93&lt;AX$11,(((Volatilities_Resets!$AA82-Volatilities_Resets!$Y82)/50)*((Calculator!AU93-Calculator!AW$11)*10000)+Volatilities_Resets!$Y82)),IF(AU93&gt;=AW$10,IF(AU93&lt;AX$10,(((Volatilities_Resets!$Y82-Volatilities_Resets!$W82)/50)*((Calculator!AU93-Calculator!AW$10)*10000)+Volatilities_Resets!$W82)),IF(AU93&gt;=AW$9,IF(AU93&lt;AX$9,(((Volatilities_Resets!$W82-Volatilities_Resets!$U82)/50)*((Calculator!AU93-Calculator!AW$9)*10000)+Volatilities_Resets!$U82)),IF(AU93&gt;=AW$8,IF(AU93&lt;AX$8,(((Volatilities_Resets!$U82-Volatilities_Resets!$S82)/50)*((Calculator!AU93-Calculator!AW$8)*10000)+Volatilities_Resets!$S82)),IF(AU93&gt;=AW$7,IF(AU93&lt;AX$7,(((Volatilities_Resets!$S82-Volatilities_Resets!$Q82)/50)*((Calculator!AU93-Calculator!AW$7)*10000)+Volatilities_Resets!$Q82)),IF(AU93&gt;=AW$6,IF(AU93&lt;AX$6,(((Volatilities_Resets!$Q82-Volatilities_Resets!$O82)/50)*((Calculator!AU93-Calculator!AW$6)*10000)+Volatilities_Resets!$O82)),IF(AU93&gt;=AW$5,IF(AU93&lt;AX$5,(((Volatilities_Resets!$O82-Volatilities_Resets!$M82)/50)*((Calculator!AU93-Calculator!AW$5)*10000)+Volatilities_Resets!$M82)),IF(AU93&gt;=AW$4,IF(AU93&lt;AX$4,(((Volatilities_Resets!$M82-Volatilities_Resets!$K82)/50)*((Calculator!AU93-Calculator!AW$4)*10000)+Volatilities_Resets!$K82)),IF(AU93&gt;=AW$3,IF(AU93&lt;AX$3,(((Volatilities_Resets!$K82-Volatilities_Resets!$I82)/50)*((Calculator!AU93-Calculator!AW$3)*10000)+Volatilities_Resets!$I82)),IF(AU93&gt;=AW$2,IF(AU93&lt;AX$2,(((Volatilities_Resets!$I82-Volatilities_Resets!$G82)/50)*((Calculator!AU93-Calculator!AW$2)*10000)+Volatilities_Resets!$G82)),"Well, something broke...")))))))))))/10000</f>
        <v>1.1601E-2</v>
      </c>
      <c r="AX93" s="63">
        <f t="shared" ca="1" si="83"/>
        <v>12637.311227159305</v>
      </c>
      <c r="AY93" s="63">
        <f t="shared" ca="1" si="84"/>
        <v>5.1204944152019095E-4</v>
      </c>
      <c r="AZ93" s="63">
        <f t="shared" ca="1" si="98"/>
        <v>1078494.1881925089</v>
      </c>
      <c r="BC93" s="63">
        <f t="shared" ca="1" si="63"/>
        <v>132.6680295565514</v>
      </c>
      <c r="BD93" s="63">
        <f ca="1">SUM($BC$15:BC93)</f>
        <v>8284.0917314089802</v>
      </c>
      <c r="BF93" s="52">
        <f ca="1">EXP(-AVERAGE(AV$15:AV93)*AS93)</f>
        <v>0.80932245016660376</v>
      </c>
      <c r="BH93" s="52">
        <f t="shared" ca="1" si="85"/>
        <v>79</v>
      </c>
      <c r="BI93" s="71">
        <f t="shared" ca="1" si="86"/>
        <v>47384</v>
      </c>
      <c r="BJ93" s="71">
        <f t="shared" ca="1" si="64"/>
        <v>47414</v>
      </c>
      <c r="BK93" s="72">
        <f t="shared" ca="1" si="65"/>
        <v>30</v>
      </c>
      <c r="BL93" s="73">
        <f ca="1">SUM(BK$15:BK93)/360</f>
        <v>6.6833333333333336</v>
      </c>
      <c r="BM93" s="74">
        <f t="shared" si="66"/>
        <v>25000000</v>
      </c>
      <c r="BN93" s="59">
        <f t="shared" si="87"/>
        <v>0.05</v>
      </c>
      <c r="BO93" s="57">
        <f>Volatilities_Resets!$E82*0.01</f>
        <v>2.9649600000000002E-2</v>
      </c>
      <c r="BP93" s="61">
        <f>IF(BN93=BQ$11,Volatilities_Resets!$AA82,IF(BN93&gt;=BP$11,IF(BN93&lt;BQ$11,(((Volatilities_Resets!$AA82-Volatilities_Resets!$Y82)/50)*((Calculator!BN93-Calculator!BP$11)*10000)+Volatilities_Resets!$Y82)),IF(BN93&gt;=BP$10,IF(BN93&lt;BQ$10,(((Volatilities_Resets!$Y82-Volatilities_Resets!$W82)/50)*((Calculator!BN93-Calculator!BP$10)*10000)+Volatilities_Resets!$W82)),IF(BN93&gt;=BP$9,IF(BN93&lt;BQ$9,(((Volatilities_Resets!$W82-Volatilities_Resets!$U82)/50)*((Calculator!BN93-Calculator!BP$9)*10000)+Volatilities_Resets!$U82)),IF(BN93&gt;=BP$8,IF(BN93&lt;BQ$8,(((Volatilities_Resets!$U82-Volatilities_Resets!$S82)/50)*((Calculator!BN93-Calculator!BP$8)*10000)+Volatilities_Resets!$S82)),IF(BN93&gt;=BP$7,IF(BN93&lt;BQ$7,(((Volatilities_Resets!$S82-Volatilities_Resets!$Q82)/50)*((Calculator!BN93-Calculator!BP$7)*10000)+Volatilities_Resets!$Q82)),IF(BN93&gt;=BP$6,IF(BN93&lt;BQ$6,(((Volatilities_Resets!$Q82-Volatilities_Resets!$O82)/50)*((Calculator!BN93-Calculator!BP$6)*10000)+Volatilities_Resets!$O82)),IF(BN93&gt;=BP$5,IF(BN93&lt;BQ$5,(((Volatilities_Resets!$O82-Volatilities_Resets!$M82)/50)*((Calculator!BN93-Calculator!BP$5)*10000)+Volatilities_Resets!$M82)),IF(BN93&gt;=BP$4,IF(BN93&lt;BQ$4,(((Volatilities_Resets!$M82-Volatilities_Resets!$K82)/50)*((Calculator!BN93-Calculator!BP$4)*10000)+Volatilities_Resets!$K82)),IF(BN93&gt;=BP$3,IF(BN93&lt;BQ$3,(((Volatilities_Resets!$K82-Volatilities_Resets!$I82)/50)*((Calculator!BN93-Calculator!BP$3)*10000)+Volatilities_Resets!$I82)),IF(BN93&gt;=BP$2,IF(BN93&lt;BQ$2,(((Volatilities_Resets!$I82-Volatilities_Resets!$G82)/50)*((Calculator!BN93-Calculator!BP$2)*10000)+Volatilities_Resets!$G82)),"Well, something broke...")))))))))))/10000</f>
        <v>1.2476000000000001E-2</v>
      </c>
      <c r="BQ93" s="63">
        <f t="shared" ca="1" si="88"/>
        <v>8719.5989575706426</v>
      </c>
      <c r="BR93" s="63">
        <f t="shared" ca="1" si="89"/>
        <v>3.5449330313681838E-4</v>
      </c>
      <c r="BS93" s="63">
        <f t="shared" ca="1" si="99"/>
        <v>626306.20651959907</v>
      </c>
      <c r="BV93" s="63">
        <f t="shared" ca="1" si="90"/>
        <v>115.51752374732524</v>
      </c>
      <c r="BW93" s="63">
        <f ca="1">SUM($BV$15:BV93)</f>
        <v>7124.7315838407749</v>
      </c>
      <c r="BY93" s="52">
        <f ca="1">EXP(-AVERAGE(BO$15:BO93)*BL93)</f>
        <v>0.80932245016660376</v>
      </c>
      <c r="CA93" s="52">
        <f t="shared" ca="1" si="91"/>
        <v>79</v>
      </c>
      <c r="CB93" s="71">
        <f t="shared" ca="1" si="92"/>
        <v>47384</v>
      </c>
      <c r="CC93" s="71">
        <f t="shared" ca="1" si="67"/>
        <v>47414</v>
      </c>
      <c r="CD93" s="72">
        <f t="shared" ca="1" si="68"/>
        <v>30</v>
      </c>
      <c r="CE93" s="73">
        <f ca="1">SUM(CD$15:CD93)/360</f>
        <v>6.6833333333333336</v>
      </c>
      <c r="CF93" s="74">
        <f t="shared" si="69"/>
        <v>25000000</v>
      </c>
      <c r="CG93" s="59">
        <f t="shared" si="93"/>
        <v>0.06</v>
      </c>
      <c r="CH93" s="57">
        <f>Volatilities_Resets!$E82*0.01</f>
        <v>2.9649600000000002E-2</v>
      </c>
      <c r="CI93" s="61">
        <f>IF(CG93=CJ$11,Volatilities_Resets!$AA82,IF(CG93&gt;=CI$11,IF(CG93&lt;CJ$11,(((Volatilities_Resets!$AA82-Volatilities_Resets!$Y82)/50)*((Calculator!CG93-Calculator!CI$11)*10000)+Volatilities_Resets!$Y82)),IF(CG93&gt;=CI$10,IF(CG93&lt;CJ$10,(((Volatilities_Resets!$Y82-Volatilities_Resets!$W82)/50)*((Calculator!CG93-Calculator!CI$10)*10000)+Volatilities_Resets!$W82)),IF(CG93&gt;=CI$9,IF(CG93&lt;CJ$9,(((Volatilities_Resets!$W82-Volatilities_Resets!$U82)/50)*((Calculator!CG93-Calculator!CI$9)*10000)+Volatilities_Resets!$U82)),IF(CG93&gt;=CI$8,IF(CG93&lt;CJ$8,(((Volatilities_Resets!$U82-Volatilities_Resets!$S82)/50)*((Calculator!CG93-Calculator!CI$8)*10000)+Volatilities_Resets!$S82)),IF(CG93&gt;=CI$7,IF(CG93&lt;CJ$7,(((Volatilities_Resets!$S82-Volatilities_Resets!$Q82)/50)*((Calculator!CG93-Calculator!CI$7)*10000)+Volatilities_Resets!$Q82)),IF(CG93&gt;=CI$6,IF(CG93&lt;CJ$6,(((Volatilities_Resets!$Q82-Volatilities_Resets!$O82)/50)*((Calculator!CG93-Calculator!CI$6)*10000)+Volatilities_Resets!$O82)),IF(CG93&gt;=CI$5,IF(CG93&lt;CJ$5,(((Volatilities_Resets!$O82-Volatilities_Resets!$M82)/50)*((Calculator!CG93-Calculator!CI$5)*10000)+Volatilities_Resets!$M82)),IF(CG93&gt;=CI$4,IF(CG93&lt;CJ$4,(((Volatilities_Resets!$M82-Volatilities_Resets!$K82)/50)*((Calculator!CG93-Calculator!CI$4)*10000)+Volatilities_Resets!$K82)),IF(CG93&gt;=CI$3,IF(CG93&lt;CJ$3,(((Volatilities_Resets!$K82-Volatilities_Resets!$I82)/50)*((Calculator!CG93-Calculator!CI$3)*10000)+Volatilities_Resets!$I82)),IF(CG93&gt;=CI$2,IF(CG93&lt;CJ$2,(((Volatilities_Resets!$I82-Volatilities_Resets!$G82)/50)*((Calculator!CG93-Calculator!CI$2)*10000)+Volatilities_Resets!$G82)),"Well, something broke...")))))))))))/10000</f>
        <v>1.3606E-2</v>
      </c>
      <c r="CJ93" s="63">
        <f t="shared" ca="1" si="94"/>
        <v>6372.7847264057355</v>
      </c>
      <c r="CK93" s="63">
        <f t="shared" ca="1" si="95"/>
        <v>2.5971820154171039E-4</v>
      </c>
      <c r="CL93" s="63">
        <f t="shared" ca="1" si="100"/>
        <v>387636.29530320753</v>
      </c>
      <c r="CO93" s="63">
        <f t="shared" ca="1" si="96"/>
        <v>97.256531456021847</v>
      </c>
      <c r="CP93" s="63">
        <f ca="1">SUM($CO$15:CO93)</f>
        <v>5618.5730024830445</v>
      </c>
      <c r="CR93" s="52">
        <f ca="1">EXP(-AVERAGE(CH$15:CH93)*CE93)</f>
        <v>0.80932245016660376</v>
      </c>
      <c r="CT93"/>
      <c r="CU93"/>
      <c r="CV93"/>
      <c r="CW93"/>
      <c r="CX93"/>
      <c r="CY93"/>
      <c r="CZ93"/>
      <c r="DA93"/>
      <c r="DB93"/>
      <c r="DC93"/>
      <c r="DD93"/>
      <c r="DE93"/>
      <c r="DF93"/>
      <c r="DG93"/>
      <c r="DH93"/>
      <c r="DI93"/>
      <c r="DJ93"/>
      <c r="DK93"/>
      <c r="DL93"/>
    </row>
    <row r="94" spans="2:116" ht="15.75" customHeight="1">
      <c r="B94" s="52">
        <v>7</v>
      </c>
      <c r="C94" s="52">
        <f t="shared" ca="1" si="52"/>
        <v>80</v>
      </c>
      <c r="D94" s="71">
        <f t="shared" ca="1" si="70"/>
        <v>47414</v>
      </c>
      <c r="E94" s="71">
        <f t="shared" ca="1" si="53"/>
        <v>47445</v>
      </c>
      <c r="F94" s="72">
        <f t="shared" ca="1" si="54"/>
        <v>31</v>
      </c>
      <c r="G94" s="73">
        <f ca="1">SUM($F$15:F94)/360</f>
        <v>6.7694444444444448</v>
      </c>
      <c r="H94" s="74">
        <f t="shared" si="56"/>
        <v>25000000</v>
      </c>
      <c r="I94" s="59">
        <f>IF('Cap Pricer'!$E$22=DataValidation!$C$2,'Cap Pricer'!$E$23,IF('Cap Pricer'!$E$22=DataValidation!$C$3,VLOOKUP($B94,'Cap Pricer'!$C$25:$E$31,3),""))</f>
        <v>0.02</v>
      </c>
      <c r="J94" s="57">
        <f>Volatilities_Resets!$E83*0.01</f>
        <v>2.9651999999999998E-2</v>
      </c>
      <c r="K94" s="61">
        <f>IF(I94=L$11,Volatilities_Resets!$AA83,IF(I94&gt;=K$11,IF(I94&lt;L$11,(((Volatilities_Resets!$AA83-Volatilities_Resets!$Y83)/50)*((Calculator!I94-Calculator!K$11)*10000)+Volatilities_Resets!$Y83)),IF(I94&gt;=K$10,IF(I94&lt;L$10,(((Volatilities_Resets!$Y83-Volatilities_Resets!$W83)/50)*((Calculator!I94-Calculator!K$10)*10000)+Volatilities_Resets!$W83)),IF(I94&gt;=K$9,IF(I94&lt;L$9,(((Volatilities_Resets!$W83-Volatilities_Resets!$U83)/50)*((Calculator!I94-Calculator!K$9)*10000)+Volatilities_Resets!$U83)),IF(I94&gt;=K$8,IF(I94&lt;L$8,(((Volatilities_Resets!$U83-Volatilities_Resets!$S83)/50)*((Calculator!I94-Calculator!K$8)*10000)+Volatilities_Resets!$S83)),IF(I94&gt;=K$7,IF(I94&lt;L$7,(((Volatilities_Resets!$S83-Volatilities_Resets!$Q83)/50)*((Calculator!I94-Calculator!K$7)*10000)+Volatilities_Resets!$Q83)),IF(I94&gt;=K$6,IF(I94&lt;L$6,(((Volatilities_Resets!$Q83-Volatilities_Resets!$O83)/50)*((Calculator!I94-Calculator!K$6)*10000)+Volatilities_Resets!$O83)),IF(I94&gt;=K$5,IF(I94&lt;L$5,(((Volatilities_Resets!$O83-Volatilities_Resets!$M83)/50)*((Calculator!I94-Calculator!K$5)*10000)+Volatilities_Resets!$M83)),IF(I94&gt;=K$4,IF(I94&lt;L$4,(((Volatilities_Resets!$M83-Volatilities_Resets!$K83)/50)*((Calculator!I94-Calculator!K$4)*10000)+Volatilities_Resets!$K83)),IF(I94&gt;=K$3,IF(I94&lt;L$3,(((Volatilities_Resets!$K83-Volatilities_Resets!$I83)/50)*((Calculator!I94-Calculator!K$3)*10000)+Volatilities_Resets!$I83)),IF(I94&gt;=K$2,IF(I94&lt;L$2,(((Volatilities_Resets!$I83-Volatilities_Resets!$G83)/50)*((Calculator!I94-Calculator!K$2)*10000)+Volatilities_Resets!$G83)),"Well, something broke...")))))))))))/10000</f>
        <v>1.116E-2</v>
      </c>
      <c r="L94" s="47">
        <f t="shared" ca="1" si="71"/>
        <v>29619.720838282668</v>
      </c>
      <c r="M94" s="63">
        <f t="shared" ca="1" si="72"/>
        <v>1.191619703061616E-3</v>
      </c>
      <c r="N94" s="63">
        <f t="shared" ca="1" si="55"/>
        <v>2674162.2785390397</v>
      </c>
      <c r="Q94" s="63">
        <f t="shared" ca="1" si="73"/>
        <v>137.85654032524354</v>
      </c>
      <c r="R94" s="63">
        <f ca="1">SUM($Q$15:Q94)</f>
        <v>8236.6042442388971</v>
      </c>
      <c r="T94" s="52">
        <f ca="1">EXP(-AVERAGE(J$15:J94)*G94)</f>
        <v>0.80725617559263607</v>
      </c>
      <c r="U94" s="57"/>
      <c r="V94" s="52">
        <f t="shared" ca="1" si="74"/>
        <v>80</v>
      </c>
      <c r="W94" s="71">
        <f t="shared" ca="1" si="75"/>
        <v>47414</v>
      </c>
      <c r="X94" s="71">
        <f t="shared" ca="1" si="57"/>
        <v>47445</v>
      </c>
      <c r="Y94" s="72">
        <f t="shared" ca="1" si="58"/>
        <v>31</v>
      </c>
      <c r="Z94" s="73">
        <f ca="1">SUM(Y$15:Y94)/360</f>
        <v>6.7694444444444448</v>
      </c>
      <c r="AA94" s="74">
        <f t="shared" si="59"/>
        <v>25000000</v>
      </c>
      <c r="AB94" s="59">
        <f t="shared" si="76"/>
        <v>0.03</v>
      </c>
      <c r="AC94" s="57">
        <f>Volatilities_Resets!$E83*0.01</f>
        <v>2.9651999999999998E-2</v>
      </c>
      <c r="AD94" s="61">
        <f>IF(AB94=AE$11,Volatilities_Resets!$AA83,IF(AB94&gt;=AD$11,IF(AB94&lt;AE$11,(((Volatilities_Resets!$AA83-Volatilities_Resets!$Y83)/50)*((Calculator!AB94-Calculator!AD$11)*10000)+Volatilities_Resets!$Y83)),IF(AB94&gt;=AD$10,IF(AB94&lt;AE$10,(((Volatilities_Resets!$Y83-Volatilities_Resets!$W83)/50)*((Calculator!AB94-Calculator!AD$10)*10000)+Volatilities_Resets!$W83)),IF(AB94&gt;=AD$9,IF(AB94&lt;AE$9,(((Volatilities_Resets!$W83-Volatilities_Resets!$U83)/50)*((Calculator!AB94-Calculator!AD$9)*10000)+Volatilities_Resets!$U83)),IF(AB94&gt;=AD$8,IF(AB94&lt;AE$8,(((Volatilities_Resets!$U83-Volatilities_Resets!$S83)/50)*((Calculator!AB94-Calculator!AD$8)*10000)+Volatilities_Resets!$S83)),IF(AB94&gt;=AD$7,IF(AB94&lt;AE$7,(((Volatilities_Resets!$S83-Volatilities_Resets!$Q83)/50)*((Calculator!AB94-Calculator!AD$7)*10000)+Volatilities_Resets!$Q83)),IF(AB94&gt;=AD$6,IF(AB94&lt;AE$6,(((Volatilities_Resets!$Q83-Volatilities_Resets!$O83)/50)*((Calculator!AB94-Calculator!AD$6)*10000)+Volatilities_Resets!$O83)),IF(AB94&gt;=AD$5,IF(AB94&lt;AE$5,(((Volatilities_Resets!$O83-Volatilities_Resets!$M83)/50)*((Calculator!AB94-Calculator!AD$5)*10000)+Volatilities_Resets!$M83)),IF(AB94&gt;=AD$4,IF(AB94&lt;AE$4,(((Volatilities_Resets!$M83-Volatilities_Resets!$K83)/50)*((Calculator!AB94-Calculator!AD$4)*10000)+Volatilities_Resets!$K83)),IF(AB94&gt;=AD$3,IF(AB94&lt;AE$3,(((Volatilities_Resets!$K83-Volatilities_Resets!$I83)/50)*((Calculator!AB94-Calculator!AD$3)*10000)+Volatilities_Resets!$I83)),IF(AB94&gt;=AD$2,IF(AB94&lt;AE$2,(((Volatilities_Resets!$I83-Volatilities_Resets!$G83)/50)*((Calculator!AB94-Calculator!AD$2)*10000)+Volatilities_Resets!$G83)),"Well, something broke...")))))))))))/10000</f>
        <v>1.1140000000000001E-2</v>
      </c>
      <c r="AE94" s="63">
        <f t="shared" ca="1" si="77"/>
        <v>19793.801696526865</v>
      </c>
      <c r="AF94" s="63">
        <f t="shared" ca="1" si="78"/>
        <v>7.9896689822647347E-4</v>
      </c>
      <c r="AG94" s="63">
        <f t="shared" ca="1" si="97"/>
        <v>1764050.5938434736</v>
      </c>
      <c r="AJ94" s="63">
        <f t="shared" ca="1" si="79"/>
        <v>145.60540920803857</v>
      </c>
      <c r="AK94" s="63">
        <f ca="1">SUM($AJ$15:AJ94)</f>
        <v>8850.0119095288883</v>
      </c>
      <c r="AM94" s="52">
        <f ca="1">EXP(-AVERAGE(AC$15:AC94)*Z94)</f>
        <v>0.80725617559263607</v>
      </c>
      <c r="AO94" s="52">
        <f t="shared" ca="1" si="80"/>
        <v>80</v>
      </c>
      <c r="AP94" s="71">
        <f t="shared" ca="1" si="81"/>
        <v>47414</v>
      </c>
      <c r="AQ94" s="71">
        <f t="shared" ca="1" si="60"/>
        <v>47445</v>
      </c>
      <c r="AR94" s="72">
        <f t="shared" ca="1" si="61"/>
        <v>31</v>
      </c>
      <c r="AS94" s="73">
        <f ca="1">SUM(AR$15:AR94)/360</f>
        <v>6.7694444444444448</v>
      </c>
      <c r="AT94" s="74">
        <f t="shared" si="62"/>
        <v>25000000</v>
      </c>
      <c r="AU94" s="59">
        <f t="shared" si="82"/>
        <v>0.04</v>
      </c>
      <c r="AV94" s="57">
        <f>Volatilities_Resets!$E83*0.01</f>
        <v>2.9651999999999998E-2</v>
      </c>
      <c r="AW94" s="61">
        <f>IF(AU94=AX$11,Volatilities_Resets!$AA83,IF(AU94&gt;=AW$11,IF(AU94&lt;AX$11,(((Volatilities_Resets!$AA83-Volatilities_Resets!$Y83)/50)*((Calculator!AU94-Calculator!AW$11)*10000)+Volatilities_Resets!$Y83)),IF(AU94&gt;=AW$10,IF(AU94&lt;AX$10,(((Volatilities_Resets!$Y83-Volatilities_Resets!$W83)/50)*((Calculator!AU94-Calculator!AW$10)*10000)+Volatilities_Resets!$W83)),IF(AU94&gt;=AW$9,IF(AU94&lt;AX$9,(((Volatilities_Resets!$W83-Volatilities_Resets!$U83)/50)*((Calculator!AU94-Calculator!AW$9)*10000)+Volatilities_Resets!$U83)),IF(AU94&gt;=AW$8,IF(AU94&lt;AX$8,(((Volatilities_Resets!$U83-Volatilities_Resets!$S83)/50)*((Calculator!AU94-Calculator!AW$8)*10000)+Volatilities_Resets!$S83)),IF(AU94&gt;=AW$7,IF(AU94&lt;AX$7,(((Volatilities_Resets!$S83-Volatilities_Resets!$Q83)/50)*((Calculator!AU94-Calculator!AW$7)*10000)+Volatilities_Resets!$Q83)),IF(AU94&gt;=AW$6,IF(AU94&lt;AX$6,(((Volatilities_Resets!$Q83-Volatilities_Resets!$O83)/50)*((Calculator!AU94-Calculator!AW$6)*10000)+Volatilities_Resets!$O83)),IF(AU94&gt;=AW$5,IF(AU94&lt;AX$5,(((Volatilities_Resets!$O83-Volatilities_Resets!$M83)/50)*((Calculator!AU94-Calculator!AW$5)*10000)+Volatilities_Resets!$M83)),IF(AU94&gt;=AW$4,IF(AU94&lt;AX$4,(((Volatilities_Resets!$M83-Volatilities_Resets!$K83)/50)*((Calculator!AU94-Calculator!AW$4)*10000)+Volatilities_Resets!$K83)),IF(AU94&gt;=AW$3,IF(AU94&lt;AX$3,(((Volatilities_Resets!$K83-Volatilities_Resets!$I83)/50)*((Calculator!AU94-Calculator!AW$3)*10000)+Volatilities_Resets!$I83)),IF(AU94&gt;=AW$2,IF(AU94&lt;AX$2,(((Volatilities_Resets!$I83-Volatilities_Resets!$G83)/50)*((Calculator!AU94-Calculator!AW$2)*10000)+Volatilities_Resets!$G83)),"Well, something broke...")))))))))))/10000</f>
        <v>1.1601E-2</v>
      </c>
      <c r="AX94" s="63">
        <f t="shared" ca="1" si="83"/>
        <v>13152.592568976546</v>
      </c>
      <c r="AY94" s="63">
        <f t="shared" ca="1" si="84"/>
        <v>5.3291065629468076E-4</v>
      </c>
      <c r="AZ94" s="63">
        <f t="shared" ca="1" si="98"/>
        <v>1091646.7807614855</v>
      </c>
      <c r="BC94" s="63">
        <f t="shared" ca="1" si="63"/>
        <v>137.37388196501189</v>
      </c>
      <c r="BD94" s="63">
        <f ca="1">SUM($BC$15:BC94)</f>
        <v>8421.4656133739918</v>
      </c>
      <c r="BF94" s="52">
        <f ca="1">EXP(-AVERAGE(AV$15:AV94)*AS94)</f>
        <v>0.80725617559263607</v>
      </c>
      <c r="BH94" s="52">
        <f t="shared" ca="1" si="85"/>
        <v>80</v>
      </c>
      <c r="BI94" s="71">
        <f t="shared" ca="1" si="86"/>
        <v>47414</v>
      </c>
      <c r="BJ94" s="71">
        <f t="shared" ca="1" si="64"/>
        <v>47445</v>
      </c>
      <c r="BK94" s="72">
        <f t="shared" ca="1" si="65"/>
        <v>31</v>
      </c>
      <c r="BL94" s="73">
        <f ca="1">SUM(BK$15:BK94)/360</f>
        <v>6.7694444444444448</v>
      </c>
      <c r="BM94" s="74">
        <f t="shared" si="66"/>
        <v>25000000</v>
      </c>
      <c r="BN94" s="59">
        <f t="shared" si="87"/>
        <v>0.05</v>
      </c>
      <c r="BO94" s="57">
        <f>Volatilities_Resets!$E83*0.01</f>
        <v>2.9651999999999998E-2</v>
      </c>
      <c r="BP94" s="61">
        <f>IF(BN94=BQ$11,Volatilities_Resets!$AA83,IF(BN94&gt;=BP$11,IF(BN94&lt;BQ$11,(((Volatilities_Resets!$AA83-Volatilities_Resets!$Y83)/50)*((Calculator!BN94-Calculator!BP$11)*10000)+Volatilities_Resets!$Y83)),IF(BN94&gt;=BP$10,IF(BN94&lt;BQ$10,(((Volatilities_Resets!$Y83-Volatilities_Resets!$W83)/50)*((Calculator!BN94-Calculator!BP$10)*10000)+Volatilities_Resets!$W83)),IF(BN94&gt;=BP$9,IF(BN94&lt;BQ$9,(((Volatilities_Resets!$W83-Volatilities_Resets!$U83)/50)*((Calculator!BN94-Calculator!BP$9)*10000)+Volatilities_Resets!$U83)),IF(BN94&gt;=BP$8,IF(BN94&lt;BQ$8,(((Volatilities_Resets!$U83-Volatilities_Resets!$S83)/50)*((Calculator!BN94-Calculator!BP$8)*10000)+Volatilities_Resets!$S83)),IF(BN94&gt;=BP$7,IF(BN94&lt;BQ$7,(((Volatilities_Resets!$S83-Volatilities_Resets!$Q83)/50)*((Calculator!BN94-Calculator!BP$7)*10000)+Volatilities_Resets!$Q83)),IF(BN94&gt;=BP$6,IF(BN94&lt;BQ$6,(((Volatilities_Resets!$Q83-Volatilities_Resets!$O83)/50)*((Calculator!BN94-Calculator!BP$6)*10000)+Volatilities_Resets!$O83)),IF(BN94&gt;=BP$5,IF(BN94&lt;BQ$5,(((Volatilities_Resets!$O83-Volatilities_Resets!$M83)/50)*((Calculator!BN94-Calculator!BP$5)*10000)+Volatilities_Resets!$M83)),IF(BN94&gt;=BP$4,IF(BN94&lt;BQ$4,(((Volatilities_Resets!$M83-Volatilities_Resets!$K83)/50)*((Calculator!BN94-Calculator!BP$4)*10000)+Volatilities_Resets!$K83)),IF(BN94&gt;=BP$3,IF(BN94&lt;BQ$3,(((Volatilities_Resets!$K83-Volatilities_Resets!$I83)/50)*((Calculator!BN94-Calculator!BP$3)*10000)+Volatilities_Resets!$I83)),IF(BN94&gt;=BP$2,IF(BN94&lt;BQ$2,(((Volatilities_Resets!$I83-Volatilities_Resets!$G83)/50)*((Calculator!BN94-Calculator!BP$2)*10000)+Volatilities_Resets!$G83)),"Well, something broke...")))))))))))/10000</f>
        <v>1.2476000000000001E-2</v>
      </c>
      <c r="BQ94" s="63">
        <f t="shared" ca="1" si="88"/>
        <v>9106.1806979814482</v>
      </c>
      <c r="BR94" s="63">
        <f t="shared" ca="1" si="89"/>
        <v>3.7018477882809535E-4</v>
      </c>
      <c r="BS94" s="63">
        <f t="shared" ca="1" si="99"/>
        <v>635412.38721758057</v>
      </c>
      <c r="BV94" s="63">
        <f t="shared" ca="1" si="90"/>
        <v>119.82811597636642</v>
      </c>
      <c r="BW94" s="63">
        <f ca="1">SUM($BV$15:BV94)</f>
        <v>7244.5596998171413</v>
      </c>
      <c r="BY94" s="52">
        <f ca="1">EXP(-AVERAGE(BO$15:BO94)*BL94)</f>
        <v>0.80725617559263607</v>
      </c>
      <c r="CA94" s="52">
        <f t="shared" ca="1" si="91"/>
        <v>80</v>
      </c>
      <c r="CB94" s="71">
        <f t="shared" ca="1" si="92"/>
        <v>47414</v>
      </c>
      <c r="CC94" s="71">
        <f t="shared" ca="1" si="67"/>
        <v>47445</v>
      </c>
      <c r="CD94" s="72">
        <f t="shared" ca="1" si="68"/>
        <v>31</v>
      </c>
      <c r="CE94" s="73">
        <f ca="1">SUM(CD$15:CD94)/360</f>
        <v>6.7694444444444448</v>
      </c>
      <c r="CF94" s="74">
        <f t="shared" si="69"/>
        <v>25000000</v>
      </c>
      <c r="CG94" s="59">
        <f t="shared" si="93"/>
        <v>0.06</v>
      </c>
      <c r="CH94" s="57">
        <f>Volatilities_Resets!$E83*0.01</f>
        <v>2.9651999999999998E-2</v>
      </c>
      <c r="CI94" s="61">
        <f>IF(CG94=CJ$11,Volatilities_Resets!$AA83,IF(CG94&gt;=CI$11,IF(CG94&lt;CJ$11,(((Volatilities_Resets!$AA83-Volatilities_Resets!$Y83)/50)*((Calculator!CG94-Calculator!CI$11)*10000)+Volatilities_Resets!$Y83)),IF(CG94&gt;=CI$10,IF(CG94&lt;CJ$10,(((Volatilities_Resets!$Y83-Volatilities_Resets!$W83)/50)*((Calculator!CG94-Calculator!CI$10)*10000)+Volatilities_Resets!$W83)),IF(CG94&gt;=CI$9,IF(CG94&lt;CJ$9,(((Volatilities_Resets!$W83-Volatilities_Resets!$U83)/50)*((Calculator!CG94-Calculator!CI$9)*10000)+Volatilities_Resets!$U83)),IF(CG94&gt;=CI$8,IF(CG94&lt;CJ$8,(((Volatilities_Resets!$U83-Volatilities_Resets!$S83)/50)*((Calculator!CG94-Calculator!CI$8)*10000)+Volatilities_Resets!$S83)),IF(CG94&gt;=CI$7,IF(CG94&lt;CJ$7,(((Volatilities_Resets!$S83-Volatilities_Resets!$Q83)/50)*((Calculator!CG94-Calculator!CI$7)*10000)+Volatilities_Resets!$Q83)),IF(CG94&gt;=CI$6,IF(CG94&lt;CJ$6,(((Volatilities_Resets!$Q83-Volatilities_Resets!$O83)/50)*((Calculator!CG94-Calculator!CI$6)*10000)+Volatilities_Resets!$O83)),IF(CG94&gt;=CI$5,IF(CG94&lt;CJ$5,(((Volatilities_Resets!$O83-Volatilities_Resets!$M83)/50)*((Calculator!CG94-Calculator!CI$5)*10000)+Volatilities_Resets!$M83)),IF(CG94&gt;=CI$4,IF(CG94&lt;CJ$4,(((Volatilities_Resets!$M83-Volatilities_Resets!$K83)/50)*((Calculator!CG94-Calculator!CI$4)*10000)+Volatilities_Resets!$K83)),IF(CG94&gt;=CI$3,IF(CG94&lt;CJ$3,(((Volatilities_Resets!$K83-Volatilities_Resets!$I83)/50)*((Calculator!CG94-Calculator!CI$3)*10000)+Volatilities_Resets!$I83)),IF(CG94&gt;=CI$2,IF(CG94&lt;CJ$2,(((Volatilities_Resets!$I83-Volatilities_Resets!$G83)/50)*((Calculator!CG94-Calculator!CI$2)*10000)+Volatilities_Resets!$G83)),"Well, something broke...")))))))))))/10000</f>
        <v>1.3606E-2</v>
      </c>
      <c r="CJ94" s="63">
        <f t="shared" ca="1" si="94"/>
        <v>6677.3958549794479</v>
      </c>
      <c r="CK94" s="63">
        <f t="shared" ca="1" si="95"/>
        <v>2.7210579043563575E-4</v>
      </c>
      <c r="CL94" s="63">
        <f t="shared" ca="1" si="100"/>
        <v>394313.69115818699</v>
      </c>
      <c r="CO94" s="63">
        <f t="shared" ca="1" si="96"/>
        <v>101.10795278323594</v>
      </c>
      <c r="CP94" s="63">
        <f ca="1">SUM($CO$15:CO94)</f>
        <v>5719.6809552662808</v>
      </c>
      <c r="CR94" s="52">
        <f ca="1">EXP(-AVERAGE(CH$15:CH94)*CE94)</f>
        <v>0.80725617559263607</v>
      </c>
      <c r="CT94"/>
      <c r="CU94"/>
      <c r="CV94"/>
      <c r="CW94"/>
      <c r="CX94"/>
      <c r="CY94"/>
      <c r="CZ94"/>
      <c r="DA94"/>
      <c r="DB94"/>
      <c r="DC94"/>
      <c r="DD94"/>
      <c r="DE94"/>
      <c r="DF94"/>
      <c r="DG94"/>
      <c r="DH94"/>
      <c r="DI94"/>
      <c r="DJ94"/>
      <c r="DK94"/>
      <c r="DL94"/>
    </row>
    <row r="95" spans="2:116" ht="15.75" customHeight="1">
      <c r="B95" s="52">
        <v>7</v>
      </c>
      <c r="C95" s="52">
        <f t="shared" ca="1" si="52"/>
        <v>81</v>
      </c>
      <c r="D95" s="71">
        <f t="shared" ca="1" si="70"/>
        <v>47445</v>
      </c>
      <c r="E95" s="71">
        <f t="shared" ca="1" si="53"/>
        <v>47475</v>
      </c>
      <c r="F95" s="72">
        <f t="shared" ca="1" si="54"/>
        <v>30</v>
      </c>
      <c r="G95" s="73">
        <f ca="1">SUM($F$15:F95)/360</f>
        <v>6.8527777777777779</v>
      </c>
      <c r="H95" s="74">
        <f t="shared" si="56"/>
        <v>25000000</v>
      </c>
      <c r="I95" s="59">
        <f>IF('Cap Pricer'!$E$22=DataValidation!$C$2,'Cap Pricer'!$E$23,IF('Cap Pricer'!$E$22=DataValidation!$C$3,VLOOKUP($B95,'Cap Pricer'!$C$25:$E$31,3),""))</f>
        <v>0.02</v>
      </c>
      <c r="J95" s="57">
        <f>Volatilities_Resets!$E84*0.01</f>
        <v>2.9649600000000002E-2</v>
      </c>
      <c r="K95" s="61">
        <f>IF(I95=L$11,Volatilities_Resets!$AA84,IF(I95&gt;=K$11,IF(I95&lt;L$11,(((Volatilities_Resets!$AA84-Volatilities_Resets!$Y84)/50)*((Calculator!I95-Calculator!K$11)*10000)+Volatilities_Resets!$Y84)),IF(I95&gt;=K$10,IF(I95&lt;L$10,(((Volatilities_Resets!$Y84-Volatilities_Resets!$W84)/50)*((Calculator!I95-Calculator!K$10)*10000)+Volatilities_Resets!$W84)),IF(I95&gt;=K$9,IF(I95&lt;L$9,(((Volatilities_Resets!$W84-Volatilities_Resets!$U84)/50)*((Calculator!I95-Calculator!K$9)*10000)+Volatilities_Resets!$U84)),IF(I95&gt;=K$8,IF(I95&lt;L$8,(((Volatilities_Resets!$U84-Volatilities_Resets!$S84)/50)*((Calculator!I95-Calculator!K$8)*10000)+Volatilities_Resets!$S84)),IF(I95&gt;=K$7,IF(I95&lt;L$7,(((Volatilities_Resets!$S84-Volatilities_Resets!$Q84)/50)*((Calculator!I95-Calculator!K$7)*10000)+Volatilities_Resets!$Q84)),IF(I95&gt;=K$6,IF(I95&lt;L$6,(((Volatilities_Resets!$Q84-Volatilities_Resets!$O84)/50)*((Calculator!I95-Calculator!K$6)*10000)+Volatilities_Resets!$O84)),IF(I95&gt;=K$5,IF(I95&lt;L$5,(((Volatilities_Resets!$O84-Volatilities_Resets!$M84)/50)*((Calculator!I95-Calculator!K$5)*10000)+Volatilities_Resets!$M84)),IF(I95&gt;=K$4,IF(I95&lt;L$4,(((Volatilities_Resets!$M84-Volatilities_Resets!$K84)/50)*((Calculator!I95-Calculator!K$4)*10000)+Volatilities_Resets!$K84)),IF(I95&gt;=K$3,IF(I95&lt;L$3,(((Volatilities_Resets!$K84-Volatilities_Resets!$I84)/50)*((Calculator!I95-Calculator!K$3)*10000)+Volatilities_Resets!$I84)),IF(I95&gt;=K$2,IF(I95&lt;L$2,(((Volatilities_Resets!$I84-Volatilities_Resets!$G84)/50)*((Calculator!I95-Calculator!K$2)*10000)+Volatilities_Resets!$G84)),"Well, something broke...")))))))))))/10000</f>
        <v>1.116E-2</v>
      </c>
      <c r="L95" s="47">
        <f t="shared" ca="1" si="71"/>
        <v>28703.924542167006</v>
      </c>
      <c r="M95" s="63">
        <f t="shared" ca="1" si="72"/>
        <v>1.1547962660480159E-3</v>
      </c>
      <c r="N95" s="63">
        <f t="shared" ca="1" si="55"/>
        <v>2702866.2030812069</v>
      </c>
      <c r="Q95" s="63">
        <f t="shared" ca="1" si="73"/>
        <v>133.65976430138957</v>
      </c>
      <c r="R95" s="63">
        <f ca="1">SUM($Q$15:Q95)</f>
        <v>8370.2640085402873</v>
      </c>
      <c r="T95" s="52">
        <f ca="1">EXP(-AVERAGE(J$15:J95)*G95)</f>
        <v>0.80526609210937128</v>
      </c>
      <c r="U95" s="57"/>
      <c r="V95" s="52">
        <f t="shared" ca="1" si="74"/>
        <v>81</v>
      </c>
      <c r="W95" s="71">
        <f t="shared" ca="1" si="75"/>
        <v>47445</v>
      </c>
      <c r="X95" s="71">
        <f t="shared" ca="1" si="57"/>
        <v>47475</v>
      </c>
      <c r="Y95" s="72">
        <f t="shared" ca="1" si="58"/>
        <v>30</v>
      </c>
      <c r="Z95" s="73">
        <f ca="1">SUM(Y$15:Y95)/360</f>
        <v>6.8527777777777779</v>
      </c>
      <c r="AA95" s="74">
        <f t="shared" si="59"/>
        <v>25000000</v>
      </c>
      <c r="AB95" s="59">
        <f t="shared" si="76"/>
        <v>0.03</v>
      </c>
      <c r="AC95" s="57">
        <f>Volatilities_Resets!$E84*0.01</f>
        <v>2.9649600000000002E-2</v>
      </c>
      <c r="AD95" s="61">
        <f>IF(AB95=AE$11,Volatilities_Resets!$AA84,IF(AB95&gt;=AD$11,IF(AB95&lt;AE$11,(((Volatilities_Resets!$AA84-Volatilities_Resets!$Y84)/50)*((Calculator!AB95-Calculator!AD$11)*10000)+Volatilities_Resets!$Y84)),IF(AB95&gt;=AD$10,IF(AB95&lt;AE$10,(((Volatilities_Resets!$Y84-Volatilities_Resets!$W84)/50)*((Calculator!AB95-Calculator!AD$10)*10000)+Volatilities_Resets!$W84)),IF(AB95&gt;=AD$9,IF(AB95&lt;AE$9,(((Volatilities_Resets!$W84-Volatilities_Resets!$U84)/50)*((Calculator!AB95-Calculator!AD$9)*10000)+Volatilities_Resets!$U84)),IF(AB95&gt;=AD$8,IF(AB95&lt;AE$8,(((Volatilities_Resets!$U84-Volatilities_Resets!$S84)/50)*((Calculator!AB95-Calculator!AD$8)*10000)+Volatilities_Resets!$S84)),IF(AB95&gt;=AD$7,IF(AB95&lt;AE$7,(((Volatilities_Resets!$S84-Volatilities_Resets!$Q84)/50)*((Calculator!AB95-Calculator!AD$7)*10000)+Volatilities_Resets!$Q84)),IF(AB95&gt;=AD$6,IF(AB95&lt;AE$6,(((Volatilities_Resets!$Q84-Volatilities_Resets!$O84)/50)*((Calculator!AB95-Calculator!AD$6)*10000)+Volatilities_Resets!$O84)),IF(AB95&gt;=AD$5,IF(AB95&lt;AE$5,(((Volatilities_Resets!$O84-Volatilities_Resets!$M84)/50)*((Calculator!AB95-Calculator!AD$5)*10000)+Volatilities_Resets!$M84)),IF(AB95&gt;=AD$4,IF(AB95&lt;AE$4,(((Volatilities_Resets!$M84-Volatilities_Resets!$K84)/50)*((Calculator!AB95-Calculator!AD$4)*10000)+Volatilities_Resets!$K84)),IF(AB95&gt;=AD$3,IF(AB95&lt;AE$3,(((Volatilities_Resets!$K84-Volatilities_Resets!$I84)/50)*((Calculator!AB95-Calculator!AD$3)*10000)+Volatilities_Resets!$I84)),IF(AB95&gt;=AD$2,IF(AB95&lt;AE$2,(((Volatilities_Resets!$I84-Volatilities_Resets!$G84)/50)*((Calculator!AB95-Calculator!AD$2)*10000)+Volatilities_Resets!$G84)),"Well, something broke...")))))))))))/10000</f>
        <v>1.1140000000000001E-2</v>
      </c>
      <c r="AE95" s="63">
        <f t="shared" ca="1" si="77"/>
        <v>19225.102190410224</v>
      </c>
      <c r="AF95" s="63">
        <f t="shared" ca="1" si="78"/>
        <v>7.7601170667046017E-4</v>
      </c>
      <c r="AG95" s="63">
        <f t="shared" ca="1" si="97"/>
        <v>1783275.6960338838</v>
      </c>
      <c r="AJ95" s="63">
        <f t="shared" ca="1" si="79"/>
        <v>141.07495026617545</v>
      </c>
      <c r="AK95" s="63">
        <f ca="1">SUM($AJ$15:AJ95)</f>
        <v>8991.086859795063</v>
      </c>
      <c r="AM95" s="52">
        <f ca="1">EXP(-AVERAGE(AC$15:AC95)*Z95)</f>
        <v>0.80526609210937128</v>
      </c>
      <c r="AO95" s="52">
        <f t="shared" ca="1" si="80"/>
        <v>81</v>
      </c>
      <c r="AP95" s="71">
        <f t="shared" ca="1" si="81"/>
        <v>47445</v>
      </c>
      <c r="AQ95" s="71">
        <f t="shared" ca="1" si="60"/>
        <v>47475</v>
      </c>
      <c r="AR95" s="72">
        <f t="shared" ca="1" si="61"/>
        <v>30</v>
      </c>
      <c r="AS95" s="73">
        <f ca="1">SUM(AR$15:AR95)/360</f>
        <v>6.8527777777777779</v>
      </c>
      <c r="AT95" s="74">
        <f t="shared" si="62"/>
        <v>25000000</v>
      </c>
      <c r="AU95" s="59">
        <f t="shared" si="82"/>
        <v>0.04</v>
      </c>
      <c r="AV95" s="57">
        <f>Volatilities_Resets!$E84*0.01</f>
        <v>2.9649600000000002E-2</v>
      </c>
      <c r="AW95" s="61">
        <f>IF(AU95=AX$11,Volatilities_Resets!$AA84,IF(AU95&gt;=AW$11,IF(AU95&lt;AX$11,(((Volatilities_Resets!$AA84-Volatilities_Resets!$Y84)/50)*((Calculator!AU95-Calculator!AW$11)*10000)+Volatilities_Resets!$Y84)),IF(AU95&gt;=AW$10,IF(AU95&lt;AX$10,(((Volatilities_Resets!$Y84-Volatilities_Resets!$W84)/50)*((Calculator!AU95-Calculator!AW$10)*10000)+Volatilities_Resets!$W84)),IF(AU95&gt;=AW$9,IF(AU95&lt;AX$9,(((Volatilities_Resets!$W84-Volatilities_Resets!$U84)/50)*((Calculator!AU95-Calculator!AW$9)*10000)+Volatilities_Resets!$U84)),IF(AU95&gt;=AW$8,IF(AU95&lt;AX$8,(((Volatilities_Resets!$U84-Volatilities_Resets!$S84)/50)*((Calculator!AU95-Calculator!AW$8)*10000)+Volatilities_Resets!$S84)),IF(AU95&gt;=AW$7,IF(AU95&lt;AX$7,(((Volatilities_Resets!$S84-Volatilities_Resets!$Q84)/50)*((Calculator!AU95-Calculator!AW$7)*10000)+Volatilities_Resets!$Q84)),IF(AU95&gt;=AW$6,IF(AU95&lt;AX$6,(((Volatilities_Resets!$Q84-Volatilities_Resets!$O84)/50)*((Calculator!AU95-Calculator!AW$6)*10000)+Volatilities_Resets!$O84)),IF(AU95&gt;=AW$5,IF(AU95&lt;AX$5,(((Volatilities_Resets!$O84-Volatilities_Resets!$M84)/50)*((Calculator!AU95-Calculator!AW$5)*10000)+Volatilities_Resets!$M84)),IF(AU95&gt;=AW$4,IF(AU95&lt;AX$4,(((Volatilities_Resets!$M84-Volatilities_Resets!$K84)/50)*((Calculator!AU95-Calculator!AW$4)*10000)+Volatilities_Resets!$K84)),IF(AU95&gt;=AW$3,IF(AU95&lt;AX$3,(((Volatilities_Resets!$K84-Volatilities_Resets!$I84)/50)*((Calculator!AU95-Calculator!AW$3)*10000)+Volatilities_Resets!$I84)),IF(AU95&gt;=AW$2,IF(AU95&lt;AX$2,(((Volatilities_Resets!$I84-Volatilities_Resets!$G84)/50)*((Calculator!AU95-Calculator!AW$2)*10000)+Volatilities_Resets!$G84)),"Well, something broke...")))))))))))/10000</f>
        <v>1.1601E-2</v>
      </c>
      <c r="AX95" s="63">
        <f t="shared" ca="1" si="83"/>
        <v>12812.388829758182</v>
      </c>
      <c r="AY95" s="63">
        <f t="shared" ca="1" si="84"/>
        <v>5.1911151989809641E-4</v>
      </c>
      <c r="AZ95" s="63">
        <f t="shared" ca="1" si="98"/>
        <v>1104459.1695912436</v>
      </c>
      <c r="BC95" s="63">
        <f t="shared" ca="1" si="63"/>
        <v>133.19034140727388</v>
      </c>
      <c r="BD95" s="63">
        <f ca="1">SUM($BC$15:BC95)</f>
        <v>8554.6559547812649</v>
      </c>
      <c r="BF95" s="52">
        <f ca="1">EXP(-AVERAGE(AV$15:AV95)*AS95)</f>
        <v>0.80526609210937128</v>
      </c>
      <c r="BH95" s="52">
        <f t="shared" ca="1" si="85"/>
        <v>81</v>
      </c>
      <c r="BI95" s="71">
        <f t="shared" ca="1" si="86"/>
        <v>47445</v>
      </c>
      <c r="BJ95" s="71">
        <f t="shared" ca="1" si="64"/>
        <v>47475</v>
      </c>
      <c r="BK95" s="72">
        <f t="shared" ca="1" si="65"/>
        <v>30</v>
      </c>
      <c r="BL95" s="73">
        <f ca="1">SUM(BK$15:BK95)/360</f>
        <v>6.8527777777777779</v>
      </c>
      <c r="BM95" s="74">
        <f t="shared" si="66"/>
        <v>25000000</v>
      </c>
      <c r="BN95" s="59">
        <f t="shared" si="87"/>
        <v>0.05</v>
      </c>
      <c r="BO95" s="57">
        <f>Volatilities_Resets!$E84*0.01</f>
        <v>2.9649600000000002E-2</v>
      </c>
      <c r="BP95" s="61">
        <f>IF(BN95=BQ$11,Volatilities_Resets!$AA84,IF(BN95&gt;=BP$11,IF(BN95&lt;BQ$11,(((Volatilities_Resets!$AA84-Volatilities_Resets!$Y84)/50)*((Calculator!BN95-Calculator!BP$11)*10000)+Volatilities_Resets!$Y84)),IF(BN95&gt;=BP$10,IF(BN95&lt;BQ$10,(((Volatilities_Resets!$Y84-Volatilities_Resets!$W84)/50)*((Calculator!BN95-Calculator!BP$10)*10000)+Volatilities_Resets!$W84)),IF(BN95&gt;=BP$9,IF(BN95&lt;BQ$9,(((Volatilities_Resets!$W84-Volatilities_Resets!$U84)/50)*((Calculator!BN95-Calculator!BP$9)*10000)+Volatilities_Resets!$U84)),IF(BN95&gt;=BP$8,IF(BN95&lt;BQ$8,(((Volatilities_Resets!$U84-Volatilities_Resets!$S84)/50)*((Calculator!BN95-Calculator!BP$8)*10000)+Volatilities_Resets!$S84)),IF(BN95&gt;=BP$7,IF(BN95&lt;BQ$7,(((Volatilities_Resets!$S84-Volatilities_Resets!$Q84)/50)*((Calculator!BN95-Calculator!BP$7)*10000)+Volatilities_Resets!$Q84)),IF(BN95&gt;=BP$6,IF(BN95&lt;BQ$6,(((Volatilities_Resets!$Q84-Volatilities_Resets!$O84)/50)*((Calculator!BN95-Calculator!BP$6)*10000)+Volatilities_Resets!$O84)),IF(BN95&gt;=BP$5,IF(BN95&lt;BQ$5,(((Volatilities_Resets!$O84-Volatilities_Resets!$M84)/50)*((Calculator!BN95-Calculator!BP$5)*10000)+Volatilities_Resets!$M84)),IF(BN95&gt;=BP$4,IF(BN95&lt;BQ$4,(((Volatilities_Resets!$M84-Volatilities_Resets!$K84)/50)*((Calculator!BN95-Calculator!BP$4)*10000)+Volatilities_Resets!$K84)),IF(BN95&gt;=BP$3,IF(BN95&lt;BQ$3,(((Volatilities_Resets!$K84-Volatilities_Resets!$I84)/50)*((Calculator!BN95-Calculator!BP$3)*10000)+Volatilities_Resets!$I84)),IF(BN95&gt;=BP$2,IF(BN95&lt;BQ$2,(((Volatilities_Resets!$I84-Volatilities_Resets!$G84)/50)*((Calculator!BN95-Calculator!BP$2)*10000)+Volatilities_Resets!$G84)),"Well, something broke...")))))))))))/10000</f>
        <v>1.2476000000000001E-2</v>
      </c>
      <c r="BQ95" s="63">
        <f t="shared" ca="1" si="88"/>
        <v>8899.2969652826814</v>
      </c>
      <c r="BR95" s="63">
        <f t="shared" ca="1" si="89"/>
        <v>3.617523254335993E-4</v>
      </c>
      <c r="BS95" s="63">
        <f t="shared" ca="1" si="99"/>
        <v>644311.68418286322</v>
      </c>
      <c r="BV95" s="63">
        <f t="shared" ca="1" si="90"/>
        <v>116.36994558082873</v>
      </c>
      <c r="BW95" s="63">
        <f ca="1">SUM($BV$15:BV95)</f>
        <v>7360.9296453979705</v>
      </c>
      <c r="BY95" s="52">
        <f ca="1">EXP(-AVERAGE(BO$15:BO95)*BL95)</f>
        <v>0.80526609210937128</v>
      </c>
      <c r="CA95" s="52">
        <f t="shared" ca="1" si="91"/>
        <v>81</v>
      </c>
      <c r="CB95" s="71">
        <f t="shared" ca="1" si="92"/>
        <v>47445</v>
      </c>
      <c r="CC95" s="71">
        <f t="shared" ca="1" si="67"/>
        <v>47475</v>
      </c>
      <c r="CD95" s="72">
        <f t="shared" ca="1" si="68"/>
        <v>30</v>
      </c>
      <c r="CE95" s="73">
        <f ca="1">SUM(CD$15:CD95)/360</f>
        <v>6.8527777777777779</v>
      </c>
      <c r="CF95" s="74">
        <f t="shared" si="69"/>
        <v>25000000</v>
      </c>
      <c r="CG95" s="59">
        <f t="shared" si="93"/>
        <v>0.06</v>
      </c>
      <c r="CH95" s="57">
        <f>Volatilities_Resets!$E84*0.01</f>
        <v>2.9649600000000002E-2</v>
      </c>
      <c r="CI95" s="61">
        <f>IF(CG95=CJ$11,Volatilities_Resets!$AA84,IF(CG95&gt;=CI$11,IF(CG95&lt;CJ$11,(((Volatilities_Resets!$AA84-Volatilities_Resets!$Y84)/50)*((Calculator!CG95-Calculator!CI$11)*10000)+Volatilities_Resets!$Y84)),IF(CG95&gt;=CI$10,IF(CG95&lt;CJ$10,(((Volatilities_Resets!$Y84-Volatilities_Resets!$W84)/50)*((Calculator!CG95-Calculator!CI$10)*10000)+Volatilities_Resets!$W84)),IF(CG95&gt;=CI$9,IF(CG95&lt;CJ$9,(((Volatilities_Resets!$W84-Volatilities_Resets!$U84)/50)*((Calculator!CG95-Calculator!CI$9)*10000)+Volatilities_Resets!$U84)),IF(CG95&gt;=CI$8,IF(CG95&lt;CJ$8,(((Volatilities_Resets!$U84-Volatilities_Resets!$S84)/50)*((Calculator!CG95-Calculator!CI$8)*10000)+Volatilities_Resets!$S84)),IF(CG95&gt;=CI$7,IF(CG95&lt;CJ$7,(((Volatilities_Resets!$S84-Volatilities_Resets!$Q84)/50)*((Calculator!CG95-Calculator!CI$7)*10000)+Volatilities_Resets!$Q84)),IF(CG95&gt;=CI$6,IF(CG95&lt;CJ$6,(((Volatilities_Resets!$Q84-Volatilities_Resets!$O84)/50)*((Calculator!CG95-Calculator!CI$6)*10000)+Volatilities_Resets!$O84)),IF(CG95&gt;=CI$5,IF(CG95&lt;CJ$5,(((Volatilities_Resets!$O84-Volatilities_Resets!$M84)/50)*((Calculator!CG95-Calculator!CI$5)*10000)+Volatilities_Resets!$M84)),IF(CG95&gt;=CI$4,IF(CG95&lt;CJ$4,(((Volatilities_Resets!$M84-Volatilities_Resets!$K84)/50)*((Calculator!CG95-Calculator!CI$4)*10000)+Volatilities_Resets!$K84)),IF(CG95&gt;=CI$3,IF(CG95&lt;CJ$3,(((Volatilities_Resets!$K84-Volatilities_Resets!$I84)/50)*((Calculator!CG95-Calculator!CI$3)*10000)+Volatilities_Resets!$I84)),IF(CG95&gt;=CI$2,IF(CG95&lt;CJ$2,(((Volatilities_Resets!$I84-Volatilities_Resets!$G84)/50)*((Calculator!CG95-Calculator!CI$2)*10000)+Volatilities_Resets!$G84)),"Well, something broke...")))))))))))/10000</f>
        <v>1.3606E-2</v>
      </c>
      <c r="CJ95" s="63">
        <f t="shared" ca="1" si="94"/>
        <v>6546.1755347898325</v>
      </c>
      <c r="CK95" s="63">
        <f t="shared" ca="1" si="95"/>
        <v>2.6673444619515637E-4</v>
      </c>
      <c r="CL95" s="63">
        <f t="shared" ca="1" si="100"/>
        <v>400859.86669297685</v>
      </c>
      <c r="CO95" s="63">
        <f t="shared" ca="1" si="96"/>
        <v>98.391936801090992</v>
      </c>
      <c r="CP95" s="63">
        <f ca="1">SUM($CO$15:CO95)</f>
        <v>5818.0728920673719</v>
      </c>
      <c r="CR95" s="52">
        <f ca="1">EXP(-AVERAGE(CH$15:CH95)*CE95)</f>
        <v>0.80526609210937128</v>
      </c>
      <c r="CT95"/>
      <c r="CU95"/>
      <c r="CV95"/>
      <c r="CW95"/>
      <c r="CX95"/>
      <c r="CY95"/>
      <c r="CZ95"/>
      <c r="DA95"/>
      <c r="DB95"/>
      <c r="DC95"/>
      <c r="DD95"/>
      <c r="DE95"/>
      <c r="DF95"/>
      <c r="DG95"/>
      <c r="DH95"/>
      <c r="DI95"/>
      <c r="DJ95"/>
      <c r="DK95"/>
      <c r="DL95"/>
    </row>
    <row r="96" spans="2:116" ht="15.75" customHeight="1">
      <c r="B96" s="52">
        <v>7</v>
      </c>
      <c r="C96" s="52">
        <f t="shared" ca="1" si="52"/>
        <v>82</v>
      </c>
      <c r="D96" s="71">
        <f t="shared" ca="1" si="70"/>
        <v>47475</v>
      </c>
      <c r="E96" s="71">
        <f t="shared" ca="1" si="53"/>
        <v>47506</v>
      </c>
      <c r="F96" s="72">
        <f t="shared" ca="1" si="54"/>
        <v>31</v>
      </c>
      <c r="G96" s="73">
        <f ca="1">SUM($F$15:F96)/360</f>
        <v>6.9388888888888891</v>
      </c>
      <c r="H96" s="74">
        <f t="shared" si="56"/>
        <v>25000000</v>
      </c>
      <c r="I96" s="59">
        <f>IF('Cap Pricer'!$E$22=DataValidation!$C$2,'Cap Pricer'!$E$23,IF('Cap Pricer'!$E$22=DataValidation!$C$3,VLOOKUP($B96,'Cap Pricer'!$C$25:$E$31,3),""))</f>
        <v>0.02</v>
      </c>
      <c r="J96" s="57">
        <f>Volatilities_Resets!$E85*0.01</f>
        <v>2.9651999999999998E-2</v>
      </c>
      <c r="K96" s="61">
        <f>IF(I96=L$11,Volatilities_Resets!$AA85,IF(I96&gt;=K$11,IF(I96&lt;L$11,(((Volatilities_Resets!$AA85-Volatilities_Resets!$Y85)/50)*((Calculator!I96-Calculator!K$11)*10000)+Volatilities_Resets!$Y85)),IF(I96&gt;=K$10,IF(I96&lt;L$10,(((Volatilities_Resets!$Y85-Volatilities_Resets!$W85)/50)*((Calculator!I96-Calculator!K$10)*10000)+Volatilities_Resets!$W85)),IF(I96&gt;=K$9,IF(I96&lt;L$9,(((Volatilities_Resets!$W85-Volatilities_Resets!$U85)/50)*((Calculator!I96-Calculator!K$9)*10000)+Volatilities_Resets!$U85)),IF(I96&gt;=K$8,IF(I96&lt;L$8,(((Volatilities_Resets!$U85-Volatilities_Resets!$S85)/50)*((Calculator!I96-Calculator!K$8)*10000)+Volatilities_Resets!$S85)),IF(I96&gt;=K$7,IF(I96&lt;L$7,(((Volatilities_Resets!$S85-Volatilities_Resets!$Q85)/50)*((Calculator!I96-Calculator!K$7)*10000)+Volatilities_Resets!$Q85)),IF(I96&gt;=K$6,IF(I96&lt;L$6,(((Volatilities_Resets!$Q85-Volatilities_Resets!$O85)/50)*((Calculator!I96-Calculator!K$6)*10000)+Volatilities_Resets!$O85)),IF(I96&gt;=K$5,IF(I96&lt;L$5,(((Volatilities_Resets!$O85-Volatilities_Resets!$M85)/50)*((Calculator!I96-Calculator!K$5)*10000)+Volatilities_Resets!$M85)),IF(I96&gt;=K$4,IF(I96&lt;L$4,(((Volatilities_Resets!$M85-Volatilities_Resets!$K85)/50)*((Calculator!I96-Calculator!K$4)*10000)+Volatilities_Resets!$K85)),IF(I96&gt;=K$3,IF(I96&lt;L$3,(((Volatilities_Resets!$K85-Volatilities_Resets!$I85)/50)*((Calculator!I96-Calculator!K$3)*10000)+Volatilities_Resets!$I85)),IF(I96&gt;=K$2,IF(I96&lt;L$2,(((Volatilities_Resets!$I85-Volatilities_Resets!$G85)/50)*((Calculator!I96-Calculator!K$2)*10000)+Volatilities_Resets!$G85)),"Well, something broke...")))))))))))/10000</f>
        <v>1.116E-2</v>
      </c>
      <c r="L96" s="47">
        <f t="shared" ca="1" si="71"/>
        <v>29707.169833244421</v>
      </c>
      <c r="M96" s="63">
        <f t="shared" ca="1" si="72"/>
        <v>1.1951771709904026E-3</v>
      </c>
      <c r="N96" s="63">
        <f t="shared" ca="1" si="55"/>
        <v>2732573.3729144512</v>
      </c>
      <c r="Q96" s="63">
        <f t="shared" ca="1" si="73"/>
        <v>138.36054686391057</v>
      </c>
      <c r="R96" s="63">
        <f ca="1">SUM($Q$15:Q96)</f>
        <v>8508.624555404198</v>
      </c>
      <c r="T96" s="52">
        <f ca="1">EXP(-AVERAGE(J$15:J96)*G96)</f>
        <v>0.80321023710822936</v>
      </c>
      <c r="U96" s="57"/>
      <c r="V96" s="52">
        <f t="shared" ca="1" si="74"/>
        <v>82</v>
      </c>
      <c r="W96" s="71">
        <f t="shared" ca="1" si="75"/>
        <v>47475</v>
      </c>
      <c r="X96" s="71">
        <f t="shared" ca="1" si="57"/>
        <v>47506</v>
      </c>
      <c r="Y96" s="72">
        <f t="shared" ca="1" si="58"/>
        <v>31</v>
      </c>
      <c r="Z96" s="73">
        <f ca="1">SUM(Y$15:Y96)/360</f>
        <v>6.9388888888888891</v>
      </c>
      <c r="AA96" s="74">
        <f t="shared" si="59"/>
        <v>25000000</v>
      </c>
      <c r="AB96" s="59">
        <f t="shared" si="76"/>
        <v>0.03</v>
      </c>
      <c r="AC96" s="57">
        <f>Volatilities_Resets!$E85*0.01</f>
        <v>2.9651999999999998E-2</v>
      </c>
      <c r="AD96" s="61">
        <f>IF(AB96=AE$11,Volatilities_Resets!$AA85,IF(AB96&gt;=AD$11,IF(AB96&lt;AE$11,(((Volatilities_Resets!$AA85-Volatilities_Resets!$Y85)/50)*((Calculator!AB96-Calculator!AD$11)*10000)+Volatilities_Resets!$Y85)),IF(AB96&gt;=AD$10,IF(AB96&lt;AE$10,(((Volatilities_Resets!$Y85-Volatilities_Resets!$W85)/50)*((Calculator!AB96-Calculator!AD$10)*10000)+Volatilities_Resets!$W85)),IF(AB96&gt;=AD$9,IF(AB96&lt;AE$9,(((Volatilities_Resets!$W85-Volatilities_Resets!$U85)/50)*((Calculator!AB96-Calculator!AD$9)*10000)+Volatilities_Resets!$U85)),IF(AB96&gt;=AD$8,IF(AB96&lt;AE$8,(((Volatilities_Resets!$U85-Volatilities_Resets!$S85)/50)*((Calculator!AB96-Calculator!AD$8)*10000)+Volatilities_Resets!$S85)),IF(AB96&gt;=AD$7,IF(AB96&lt;AE$7,(((Volatilities_Resets!$S85-Volatilities_Resets!$Q85)/50)*((Calculator!AB96-Calculator!AD$7)*10000)+Volatilities_Resets!$Q85)),IF(AB96&gt;=AD$6,IF(AB96&lt;AE$6,(((Volatilities_Resets!$Q85-Volatilities_Resets!$O85)/50)*((Calculator!AB96-Calculator!AD$6)*10000)+Volatilities_Resets!$O85)),IF(AB96&gt;=AD$5,IF(AB96&lt;AE$5,(((Volatilities_Resets!$O85-Volatilities_Resets!$M85)/50)*((Calculator!AB96-Calculator!AD$5)*10000)+Volatilities_Resets!$M85)),IF(AB96&gt;=AD$4,IF(AB96&lt;AE$4,(((Volatilities_Resets!$M85-Volatilities_Resets!$K85)/50)*((Calculator!AB96-Calculator!AD$4)*10000)+Volatilities_Resets!$K85)),IF(AB96&gt;=AD$3,IF(AB96&lt;AE$3,(((Volatilities_Resets!$K85-Volatilities_Resets!$I85)/50)*((Calculator!AB96-Calculator!AD$3)*10000)+Volatilities_Resets!$I85)),IF(AB96&gt;=AD$2,IF(AB96&lt;AE$2,(((Volatilities_Resets!$I85-Volatilities_Resets!$G85)/50)*((Calculator!AB96-Calculator!AD$2)*10000)+Volatilities_Resets!$G85)),"Well, something broke...")))))))))))/10000</f>
        <v>1.1140000000000001E-2</v>
      </c>
      <c r="AE96" s="63">
        <f t="shared" ca="1" si="77"/>
        <v>19943.264558552626</v>
      </c>
      <c r="AF96" s="63">
        <f t="shared" ca="1" si="78"/>
        <v>8.0499855347015905E-4</v>
      </c>
      <c r="AG96" s="63">
        <f t="shared" ca="1" si="97"/>
        <v>1803218.9605924364</v>
      </c>
      <c r="AJ96" s="63">
        <f t="shared" ca="1" si="79"/>
        <v>145.94272032650019</v>
      </c>
      <c r="AK96" s="63">
        <f ca="1">SUM($AJ$15:AJ96)</f>
        <v>9137.0295801215634</v>
      </c>
      <c r="AM96" s="52">
        <f ca="1">EXP(-AVERAGE(AC$15:AC96)*Z96)</f>
        <v>0.80321023710822936</v>
      </c>
      <c r="AO96" s="52">
        <f t="shared" ca="1" si="80"/>
        <v>82</v>
      </c>
      <c r="AP96" s="71">
        <f t="shared" ca="1" si="81"/>
        <v>47475</v>
      </c>
      <c r="AQ96" s="71">
        <f t="shared" ca="1" si="60"/>
        <v>47506</v>
      </c>
      <c r="AR96" s="72">
        <f t="shared" ca="1" si="61"/>
        <v>31</v>
      </c>
      <c r="AS96" s="73">
        <f ca="1">SUM(AR$15:AR96)/360</f>
        <v>6.9388888888888891</v>
      </c>
      <c r="AT96" s="74">
        <f t="shared" si="62"/>
        <v>25000000</v>
      </c>
      <c r="AU96" s="59">
        <f t="shared" si="82"/>
        <v>0.04</v>
      </c>
      <c r="AV96" s="57">
        <f>Volatilities_Resets!$E85*0.01</f>
        <v>2.9651999999999998E-2</v>
      </c>
      <c r="AW96" s="61">
        <f>IF(AU96=AX$11,Volatilities_Resets!$AA85,IF(AU96&gt;=AW$11,IF(AU96&lt;AX$11,(((Volatilities_Resets!$AA85-Volatilities_Resets!$Y85)/50)*((Calculator!AU96-Calculator!AW$11)*10000)+Volatilities_Resets!$Y85)),IF(AU96&gt;=AW$10,IF(AU96&lt;AX$10,(((Volatilities_Resets!$Y85-Volatilities_Resets!$W85)/50)*((Calculator!AU96-Calculator!AW$10)*10000)+Volatilities_Resets!$W85)),IF(AU96&gt;=AW$9,IF(AU96&lt;AX$9,(((Volatilities_Resets!$W85-Volatilities_Resets!$U85)/50)*((Calculator!AU96-Calculator!AW$9)*10000)+Volatilities_Resets!$U85)),IF(AU96&gt;=AW$8,IF(AU96&lt;AX$8,(((Volatilities_Resets!$U85-Volatilities_Resets!$S85)/50)*((Calculator!AU96-Calculator!AW$8)*10000)+Volatilities_Resets!$S85)),IF(AU96&gt;=AW$7,IF(AU96&lt;AX$7,(((Volatilities_Resets!$S85-Volatilities_Resets!$Q85)/50)*((Calculator!AU96-Calculator!AW$7)*10000)+Volatilities_Resets!$Q85)),IF(AU96&gt;=AW$6,IF(AU96&lt;AX$6,(((Volatilities_Resets!$Q85-Volatilities_Resets!$O85)/50)*((Calculator!AU96-Calculator!AW$6)*10000)+Volatilities_Resets!$O85)),IF(AU96&gt;=AW$5,IF(AU96&lt;AX$5,(((Volatilities_Resets!$O85-Volatilities_Resets!$M85)/50)*((Calculator!AU96-Calculator!AW$5)*10000)+Volatilities_Resets!$M85)),IF(AU96&gt;=AW$4,IF(AU96&lt;AX$4,(((Volatilities_Resets!$M85-Volatilities_Resets!$K85)/50)*((Calculator!AU96-Calculator!AW$4)*10000)+Volatilities_Resets!$K85)),IF(AU96&gt;=AW$3,IF(AU96&lt;AX$3,(((Volatilities_Resets!$K85-Volatilities_Resets!$I85)/50)*((Calculator!AU96-Calculator!AW$3)*10000)+Volatilities_Resets!$I85)),IF(AU96&gt;=AW$2,IF(AU96&lt;AX$2,(((Volatilities_Resets!$I85-Volatilities_Resets!$G85)/50)*((Calculator!AU96-Calculator!AW$2)*10000)+Volatilities_Resets!$G85)),"Well, something broke...")))))))))))/10000</f>
        <v>1.1601E-2</v>
      </c>
      <c r="AX96" s="63">
        <f t="shared" ca="1" si="83"/>
        <v>13331.045308913872</v>
      </c>
      <c r="AY96" s="63">
        <f t="shared" ca="1" si="84"/>
        <v>5.4010865377239242E-4</v>
      </c>
      <c r="AZ96" s="63">
        <f t="shared" ca="1" si="98"/>
        <v>1117790.2149001574</v>
      </c>
      <c r="BC96" s="63">
        <f t="shared" ca="1" si="63"/>
        <v>137.88793304498651</v>
      </c>
      <c r="BD96" s="63">
        <f ca="1">SUM($BC$15:BC96)</f>
        <v>8692.5438878262521</v>
      </c>
      <c r="BF96" s="52">
        <f ca="1">EXP(-AVERAGE(AV$15:AV96)*AS96)</f>
        <v>0.80321023710822936</v>
      </c>
      <c r="BH96" s="52">
        <f t="shared" ca="1" si="85"/>
        <v>82</v>
      </c>
      <c r="BI96" s="71">
        <f t="shared" ca="1" si="86"/>
        <v>47475</v>
      </c>
      <c r="BJ96" s="71">
        <f t="shared" ca="1" si="64"/>
        <v>47506</v>
      </c>
      <c r="BK96" s="72">
        <f t="shared" ca="1" si="65"/>
        <v>31</v>
      </c>
      <c r="BL96" s="73">
        <f ca="1">SUM(BK$15:BK96)/360</f>
        <v>6.9388888888888891</v>
      </c>
      <c r="BM96" s="74">
        <f t="shared" si="66"/>
        <v>25000000</v>
      </c>
      <c r="BN96" s="59">
        <f t="shared" si="87"/>
        <v>0.05</v>
      </c>
      <c r="BO96" s="57">
        <f>Volatilities_Resets!$E85*0.01</f>
        <v>2.9651999999999998E-2</v>
      </c>
      <c r="BP96" s="61">
        <f>IF(BN96=BQ$11,Volatilities_Resets!$AA85,IF(BN96&gt;=BP$11,IF(BN96&lt;BQ$11,(((Volatilities_Resets!$AA85-Volatilities_Resets!$Y85)/50)*((Calculator!BN96-Calculator!BP$11)*10000)+Volatilities_Resets!$Y85)),IF(BN96&gt;=BP$10,IF(BN96&lt;BQ$10,(((Volatilities_Resets!$Y85-Volatilities_Resets!$W85)/50)*((Calculator!BN96-Calculator!BP$10)*10000)+Volatilities_Resets!$W85)),IF(BN96&gt;=BP$9,IF(BN96&lt;BQ$9,(((Volatilities_Resets!$W85-Volatilities_Resets!$U85)/50)*((Calculator!BN96-Calculator!BP$9)*10000)+Volatilities_Resets!$U85)),IF(BN96&gt;=BP$8,IF(BN96&lt;BQ$8,(((Volatilities_Resets!$U85-Volatilities_Resets!$S85)/50)*((Calculator!BN96-Calculator!BP$8)*10000)+Volatilities_Resets!$S85)),IF(BN96&gt;=BP$7,IF(BN96&lt;BQ$7,(((Volatilities_Resets!$S85-Volatilities_Resets!$Q85)/50)*((Calculator!BN96-Calculator!BP$7)*10000)+Volatilities_Resets!$Q85)),IF(BN96&gt;=BP$6,IF(BN96&lt;BQ$6,(((Volatilities_Resets!$Q85-Volatilities_Resets!$O85)/50)*((Calculator!BN96-Calculator!BP$6)*10000)+Volatilities_Resets!$O85)),IF(BN96&gt;=BP$5,IF(BN96&lt;BQ$5,(((Volatilities_Resets!$O85-Volatilities_Resets!$M85)/50)*((Calculator!BN96-Calculator!BP$5)*10000)+Volatilities_Resets!$M85)),IF(BN96&gt;=BP$4,IF(BN96&lt;BQ$4,(((Volatilities_Resets!$M85-Volatilities_Resets!$K85)/50)*((Calculator!BN96-Calculator!BP$4)*10000)+Volatilities_Resets!$K85)),IF(BN96&gt;=BP$3,IF(BN96&lt;BQ$3,(((Volatilities_Resets!$K85-Volatilities_Resets!$I85)/50)*((Calculator!BN96-Calculator!BP$3)*10000)+Volatilities_Resets!$I85)),IF(BN96&gt;=BP$2,IF(BN96&lt;BQ$2,(((Volatilities_Resets!$I85-Volatilities_Resets!$G85)/50)*((Calculator!BN96-Calculator!BP$2)*10000)+Volatilities_Resets!$G85)),"Well, something broke...")))))))))))/10000</f>
        <v>1.2477E-2</v>
      </c>
      <c r="BQ96" s="63">
        <f t="shared" ca="1" si="88"/>
        <v>9291.4246518497566</v>
      </c>
      <c r="BR96" s="63">
        <f t="shared" ca="1" si="89"/>
        <v>3.7766697880522136E-4</v>
      </c>
      <c r="BS96" s="63">
        <f t="shared" ca="1" si="99"/>
        <v>653603.108834713</v>
      </c>
      <c r="BV96" s="63">
        <f t="shared" ca="1" si="90"/>
        <v>120.68219216677193</v>
      </c>
      <c r="BW96" s="63">
        <f ca="1">SUM($BV$15:BV96)</f>
        <v>7481.611837564742</v>
      </c>
      <c r="BY96" s="52">
        <f ca="1">EXP(-AVERAGE(BO$15:BO96)*BL96)</f>
        <v>0.80321023710822936</v>
      </c>
      <c r="CA96" s="52">
        <f t="shared" ca="1" si="91"/>
        <v>82</v>
      </c>
      <c r="CB96" s="71">
        <f t="shared" ca="1" si="92"/>
        <v>47475</v>
      </c>
      <c r="CC96" s="71">
        <f t="shared" ca="1" si="67"/>
        <v>47506</v>
      </c>
      <c r="CD96" s="72">
        <f t="shared" ca="1" si="68"/>
        <v>31</v>
      </c>
      <c r="CE96" s="73">
        <f ca="1">SUM(CD$15:CD96)/360</f>
        <v>6.9388888888888891</v>
      </c>
      <c r="CF96" s="74">
        <f t="shared" si="69"/>
        <v>25000000</v>
      </c>
      <c r="CG96" s="59">
        <f t="shared" si="93"/>
        <v>0.06</v>
      </c>
      <c r="CH96" s="57">
        <f>Volatilities_Resets!$E85*0.01</f>
        <v>2.9651999999999998E-2</v>
      </c>
      <c r="CI96" s="61">
        <f>IF(CG96=CJ$11,Volatilities_Resets!$AA85,IF(CG96&gt;=CI$11,IF(CG96&lt;CJ$11,(((Volatilities_Resets!$AA85-Volatilities_Resets!$Y85)/50)*((Calculator!CG96-Calculator!CI$11)*10000)+Volatilities_Resets!$Y85)),IF(CG96&gt;=CI$10,IF(CG96&lt;CJ$10,(((Volatilities_Resets!$Y85-Volatilities_Resets!$W85)/50)*((Calculator!CG96-Calculator!CI$10)*10000)+Volatilities_Resets!$W85)),IF(CG96&gt;=CI$9,IF(CG96&lt;CJ$9,(((Volatilities_Resets!$W85-Volatilities_Resets!$U85)/50)*((Calculator!CG96-Calculator!CI$9)*10000)+Volatilities_Resets!$U85)),IF(CG96&gt;=CI$8,IF(CG96&lt;CJ$8,(((Volatilities_Resets!$U85-Volatilities_Resets!$S85)/50)*((Calculator!CG96-Calculator!CI$8)*10000)+Volatilities_Resets!$S85)),IF(CG96&gt;=CI$7,IF(CG96&lt;CJ$7,(((Volatilities_Resets!$S85-Volatilities_Resets!$Q85)/50)*((Calculator!CG96-Calculator!CI$7)*10000)+Volatilities_Resets!$Q85)),IF(CG96&gt;=CI$6,IF(CG96&lt;CJ$6,(((Volatilities_Resets!$Q85-Volatilities_Resets!$O85)/50)*((Calculator!CG96-Calculator!CI$6)*10000)+Volatilities_Resets!$O85)),IF(CG96&gt;=CI$5,IF(CG96&lt;CJ$5,(((Volatilities_Resets!$O85-Volatilities_Resets!$M85)/50)*((Calculator!CG96-Calculator!CI$5)*10000)+Volatilities_Resets!$M85)),IF(CG96&gt;=CI$4,IF(CG96&lt;CJ$4,(((Volatilities_Resets!$M85-Volatilities_Resets!$K85)/50)*((Calculator!CG96-Calculator!CI$4)*10000)+Volatilities_Resets!$K85)),IF(CG96&gt;=CI$3,IF(CG96&lt;CJ$3,(((Volatilities_Resets!$K85-Volatilities_Resets!$I85)/50)*((Calculator!CG96-Calculator!CI$3)*10000)+Volatilities_Resets!$I85)),IF(CG96&gt;=CI$2,IF(CG96&lt;CJ$2,(((Volatilities_Resets!$I85-Volatilities_Resets!$G85)/50)*((Calculator!CG96-Calculator!CI$2)*10000)+Volatilities_Resets!$G85)),"Well, something broke...")))))))))))/10000</f>
        <v>1.3606999999999999E-2</v>
      </c>
      <c r="CJ96" s="63">
        <f t="shared" ca="1" si="94"/>
        <v>6856.484934490898</v>
      </c>
      <c r="CK96" s="63">
        <f t="shared" ca="1" si="95"/>
        <v>2.7935166812018001E-4</v>
      </c>
      <c r="CL96" s="63">
        <f t="shared" ca="1" si="100"/>
        <v>407716.35162746772</v>
      </c>
      <c r="CO96" s="63">
        <f t="shared" ca="1" si="96"/>
        <v>102.25409972329267</v>
      </c>
      <c r="CP96" s="63">
        <f ca="1">SUM($CO$15:CO96)</f>
        <v>5920.3269917906646</v>
      </c>
      <c r="CR96" s="52">
        <f ca="1">EXP(-AVERAGE(CH$15:CH96)*CE96)</f>
        <v>0.80321023710822936</v>
      </c>
      <c r="CT96"/>
      <c r="CU96"/>
      <c r="CV96"/>
      <c r="CW96"/>
      <c r="CX96"/>
      <c r="CY96"/>
      <c r="CZ96"/>
      <c r="DA96"/>
      <c r="DB96"/>
      <c r="DC96"/>
      <c r="DD96"/>
      <c r="DE96"/>
      <c r="DF96"/>
      <c r="DG96"/>
      <c r="DH96"/>
      <c r="DI96"/>
      <c r="DJ96"/>
      <c r="DK96"/>
      <c r="DL96"/>
    </row>
    <row r="97" spans="2:116" ht="15.75" customHeight="1">
      <c r="B97" s="52">
        <v>7</v>
      </c>
      <c r="C97" s="52">
        <f t="shared" ca="1" si="52"/>
        <v>83</v>
      </c>
      <c r="D97" s="71">
        <f t="shared" ca="1" si="70"/>
        <v>47506</v>
      </c>
      <c r="E97" s="71">
        <f t="shared" ca="1" si="53"/>
        <v>47537</v>
      </c>
      <c r="F97" s="72">
        <f t="shared" ca="1" si="54"/>
        <v>31</v>
      </c>
      <c r="G97" s="73">
        <f ca="1">SUM($F$15:F97)/360</f>
        <v>7.0250000000000004</v>
      </c>
      <c r="H97" s="74">
        <f t="shared" si="56"/>
        <v>25000000</v>
      </c>
      <c r="I97" s="59">
        <f>IF('Cap Pricer'!$E$22=DataValidation!$C$2,'Cap Pricer'!$E$23,IF('Cap Pricer'!$E$22=DataValidation!$C$3,VLOOKUP($B97,'Cap Pricer'!$C$25:$E$31,3),""))</f>
        <v>0.02</v>
      </c>
      <c r="J97" s="57">
        <f>Volatilities_Resets!$E86*0.01</f>
        <v>2.9650800000000001E-2</v>
      </c>
      <c r="K97" s="61">
        <f>IF(I97=L$11,Volatilities_Resets!$AA86,IF(I97&gt;=K$11,IF(I97&lt;L$11,(((Volatilities_Resets!$AA86-Volatilities_Resets!$Y86)/50)*((Calculator!I97-Calculator!K$11)*10000)+Volatilities_Resets!$Y86)),IF(I97&gt;=K$10,IF(I97&lt;L$10,(((Volatilities_Resets!$Y86-Volatilities_Resets!$W86)/50)*((Calculator!I97-Calculator!K$10)*10000)+Volatilities_Resets!$W86)),IF(I97&gt;=K$9,IF(I97&lt;L$9,(((Volatilities_Resets!$W86-Volatilities_Resets!$U86)/50)*((Calculator!I97-Calculator!K$9)*10000)+Volatilities_Resets!$U86)),IF(I97&gt;=K$8,IF(I97&lt;L$8,(((Volatilities_Resets!$U86-Volatilities_Resets!$S86)/50)*((Calculator!I97-Calculator!K$8)*10000)+Volatilities_Resets!$S86)),IF(I97&gt;=K$7,IF(I97&lt;L$7,(((Volatilities_Resets!$S86-Volatilities_Resets!$Q86)/50)*((Calculator!I97-Calculator!K$7)*10000)+Volatilities_Resets!$Q86)),IF(I97&gt;=K$6,IF(I97&lt;L$6,(((Volatilities_Resets!$Q86-Volatilities_Resets!$O86)/50)*((Calculator!I97-Calculator!K$6)*10000)+Volatilities_Resets!$O86)),IF(I97&gt;=K$5,IF(I97&lt;L$5,(((Volatilities_Resets!$O86-Volatilities_Resets!$M86)/50)*((Calculator!I97-Calculator!K$5)*10000)+Volatilities_Resets!$M86)),IF(I97&gt;=K$4,IF(I97&lt;L$4,(((Volatilities_Resets!$M86-Volatilities_Resets!$K86)/50)*((Calculator!I97-Calculator!K$4)*10000)+Volatilities_Resets!$K86)),IF(I97&gt;=K$3,IF(I97&lt;L$3,(((Volatilities_Resets!$K86-Volatilities_Resets!$I86)/50)*((Calculator!I97-Calculator!K$3)*10000)+Volatilities_Resets!$I86)),IF(I97&gt;=K$2,IF(I97&lt;L$2,(((Volatilities_Resets!$I86-Volatilities_Resets!$G86)/50)*((Calculator!I97-Calculator!K$2)*10000)+Volatilities_Resets!$G86)),"Well, something broke...")))))))))))/10000</f>
        <v>1.0938E-2</v>
      </c>
      <c r="L97" s="47">
        <f t="shared" ca="1" si="71"/>
        <v>29365.169144136275</v>
      </c>
      <c r="M97" s="63">
        <f t="shared" ca="1" si="72"/>
        <v>1.1815118038829664E-3</v>
      </c>
      <c r="N97" s="63">
        <f t="shared" ca="1" si="55"/>
        <v>2761938.5420585875</v>
      </c>
      <c r="Q97" s="63">
        <f t="shared" ca="1" si="73"/>
        <v>138.30096845853004</v>
      </c>
      <c r="R97" s="63">
        <f ca="1">SUM($Q$15:Q97)</f>
        <v>8646.9255238627284</v>
      </c>
      <c r="T97" s="52">
        <f ca="1">EXP(-AVERAGE(J$15:J97)*G97)</f>
        <v>0.80115976830143154</v>
      </c>
      <c r="U97" s="57"/>
      <c r="V97" s="52">
        <f t="shared" ca="1" si="74"/>
        <v>83</v>
      </c>
      <c r="W97" s="71">
        <f t="shared" ca="1" si="75"/>
        <v>47506</v>
      </c>
      <c r="X97" s="71">
        <f t="shared" ca="1" si="57"/>
        <v>47537</v>
      </c>
      <c r="Y97" s="72">
        <f t="shared" ca="1" si="58"/>
        <v>31</v>
      </c>
      <c r="Z97" s="73">
        <f ca="1">SUM(Y$15:Y97)/360</f>
        <v>7.0250000000000004</v>
      </c>
      <c r="AA97" s="74">
        <f t="shared" si="59"/>
        <v>25000000</v>
      </c>
      <c r="AB97" s="59">
        <f t="shared" si="76"/>
        <v>0.03</v>
      </c>
      <c r="AC97" s="57">
        <f>Volatilities_Resets!$E86*0.01</f>
        <v>2.9650800000000001E-2</v>
      </c>
      <c r="AD97" s="61">
        <f>IF(AB97=AE$11,Volatilities_Resets!$AA86,IF(AB97&gt;=AD$11,IF(AB97&lt;AE$11,(((Volatilities_Resets!$AA86-Volatilities_Resets!$Y86)/50)*((Calculator!AB97-Calculator!AD$11)*10000)+Volatilities_Resets!$Y86)),IF(AB97&gt;=AD$10,IF(AB97&lt;AE$10,(((Volatilities_Resets!$Y86-Volatilities_Resets!$W86)/50)*((Calculator!AB97-Calculator!AD$10)*10000)+Volatilities_Resets!$W86)),IF(AB97&gt;=AD$9,IF(AB97&lt;AE$9,(((Volatilities_Resets!$W86-Volatilities_Resets!$U86)/50)*((Calculator!AB97-Calculator!AD$9)*10000)+Volatilities_Resets!$U86)),IF(AB97&gt;=AD$8,IF(AB97&lt;AE$8,(((Volatilities_Resets!$U86-Volatilities_Resets!$S86)/50)*((Calculator!AB97-Calculator!AD$8)*10000)+Volatilities_Resets!$S86)),IF(AB97&gt;=AD$7,IF(AB97&lt;AE$7,(((Volatilities_Resets!$S86-Volatilities_Resets!$Q86)/50)*((Calculator!AB97-Calculator!AD$7)*10000)+Volatilities_Resets!$Q86)),IF(AB97&gt;=AD$6,IF(AB97&lt;AE$6,(((Volatilities_Resets!$Q86-Volatilities_Resets!$O86)/50)*((Calculator!AB97-Calculator!AD$6)*10000)+Volatilities_Resets!$O86)),IF(AB97&gt;=AD$5,IF(AB97&lt;AE$5,(((Volatilities_Resets!$O86-Volatilities_Resets!$M86)/50)*((Calculator!AB97-Calculator!AD$5)*10000)+Volatilities_Resets!$M86)),IF(AB97&gt;=AD$4,IF(AB97&lt;AE$4,(((Volatilities_Resets!$M86-Volatilities_Resets!$K86)/50)*((Calculator!AB97-Calculator!AD$4)*10000)+Volatilities_Resets!$K86)),IF(AB97&gt;=AD$3,IF(AB97&lt;AE$3,(((Volatilities_Resets!$K86-Volatilities_Resets!$I86)/50)*((Calculator!AB97-Calculator!AD$3)*10000)+Volatilities_Resets!$I86)),IF(AB97&gt;=AD$2,IF(AB97&lt;AE$2,(((Volatilities_Resets!$I86-Volatilities_Resets!$G86)/50)*((Calculator!AB97-Calculator!AD$2)*10000)+Volatilities_Resets!$G86)),"Well, something broke...")))))))))))/10000</f>
        <v>1.0948000000000001E-2</v>
      </c>
      <c r="AE97" s="63">
        <f t="shared" ca="1" si="77"/>
        <v>19666.093077005553</v>
      </c>
      <c r="AF97" s="63">
        <f t="shared" ca="1" si="78"/>
        <v>7.9393796885596495E-4</v>
      </c>
      <c r="AG97" s="63">
        <f t="shared" ca="1" si="97"/>
        <v>1822885.053669442</v>
      </c>
      <c r="AJ97" s="63">
        <f t="shared" ca="1" si="79"/>
        <v>146.09640639069664</v>
      </c>
      <c r="AK97" s="63">
        <f ca="1">SUM($AJ$15:AJ97)</f>
        <v>9283.1259865122593</v>
      </c>
      <c r="AM97" s="52">
        <f ca="1">EXP(-AVERAGE(AC$15:AC97)*Z97)</f>
        <v>0.80115976830143154</v>
      </c>
      <c r="AO97" s="52">
        <f t="shared" ca="1" si="80"/>
        <v>83</v>
      </c>
      <c r="AP97" s="71">
        <f t="shared" ca="1" si="81"/>
        <v>47506</v>
      </c>
      <c r="AQ97" s="71">
        <f t="shared" ca="1" si="60"/>
        <v>47537</v>
      </c>
      <c r="AR97" s="72">
        <f t="shared" ca="1" si="61"/>
        <v>31</v>
      </c>
      <c r="AS97" s="73">
        <f ca="1">SUM(AR$15:AR97)/360</f>
        <v>7.0250000000000004</v>
      </c>
      <c r="AT97" s="74">
        <f t="shared" si="62"/>
        <v>25000000</v>
      </c>
      <c r="AU97" s="59">
        <f t="shared" si="82"/>
        <v>0.04</v>
      </c>
      <c r="AV97" s="57">
        <f>Volatilities_Resets!$E86*0.01</f>
        <v>2.9650800000000001E-2</v>
      </c>
      <c r="AW97" s="61">
        <f>IF(AU97=AX$11,Volatilities_Resets!$AA86,IF(AU97&gt;=AW$11,IF(AU97&lt;AX$11,(((Volatilities_Resets!$AA86-Volatilities_Resets!$Y86)/50)*((Calculator!AU97-Calculator!AW$11)*10000)+Volatilities_Resets!$Y86)),IF(AU97&gt;=AW$10,IF(AU97&lt;AX$10,(((Volatilities_Resets!$Y86-Volatilities_Resets!$W86)/50)*((Calculator!AU97-Calculator!AW$10)*10000)+Volatilities_Resets!$W86)),IF(AU97&gt;=AW$9,IF(AU97&lt;AX$9,(((Volatilities_Resets!$W86-Volatilities_Resets!$U86)/50)*((Calculator!AU97-Calculator!AW$9)*10000)+Volatilities_Resets!$U86)),IF(AU97&gt;=AW$8,IF(AU97&lt;AX$8,(((Volatilities_Resets!$U86-Volatilities_Resets!$S86)/50)*((Calculator!AU97-Calculator!AW$8)*10000)+Volatilities_Resets!$S86)),IF(AU97&gt;=AW$7,IF(AU97&lt;AX$7,(((Volatilities_Resets!$S86-Volatilities_Resets!$Q86)/50)*((Calculator!AU97-Calculator!AW$7)*10000)+Volatilities_Resets!$Q86)),IF(AU97&gt;=AW$6,IF(AU97&lt;AX$6,(((Volatilities_Resets!$Q86-Volatilities_Resets!$O86)/50)*((Calculator!AU97-Calculator!AW$6)*10000)+Volatilities_Resets!$O86)),IF(AU97&gt;=AW$5,IF(AU97&lt;AX$5,(((Volatilities_Resets!$O86-Volatilities_Resets!$M86)/50)*((Calculator!AU97-Calculator!AW$5)*10000)+Volatilities_Resets!$M86)),IF(AU97&gt;=AW$4,IF(AU97&lt;AX$4,(((Volatilities_Resets!$M86-Volatilities_Resets!$K86)/50)*((Calculator!AU97-Calculator!AW$4)*10000)+Volatilities_Resets!$K86)),IF(AU97&gt;=AW$3,IF(AU97&lt;AX$3,(((Volatilities_Resets!$K86-Volatilities_Resets!$I86)/50)*((Calculator!AU97-Calculator!AW$3)*10000)+Volatilities_Resets!$I86)),IF(AU97&gt;=AW$2,IF(AU97&lt;AX$2,(((Volatilities_Resets!$I86-Volatilities_Resets!$G86)/50)*((Calculator!AU97-Calculator!AW$2)*10000)+Volatilities_Resets!$G86)),"Well, something broke...")))))))))))/10000</f>
        <v>1.1518E-2</v>
      </c>
      <c r="AX97" s="63">
        <f t="shared" ca="1" si="83"/>
        <v>13276.1415002908</v>
      </c>
      <c r="AY97" s="63">
        <f t="shared" ca="1" si="84"/>
        <v>5.3793647848549811E-4</v>
      </c>
      <c r="AZ97" s="63">
        <f t="shared" ca="1" si="98"/>
        <v>1131066.3564004481</v>
      </c>
      <c r="BC97" s="63">
        <f t="shared" ca="1" si="63"/>
        <v>138.01616329824498</v>
      </c>
      <c r="BD97" s="63">
        <f ca="1">SUM($BC$15:BC97)</f>
        <v>8830.5600511244975</v>
      </c>
      <c r="BF97" s="52">
        <f ca="1">EXP(-AVERAGE(AV$15:AV97)*AS97)</f>
        <v>0.80115976830143154</v>
      </c>
      <c r="BH97" s="52">
        <f t="shared" ca="1" si="85"/>
        <v>83</v>
      </c>
      <c r="BI97" s="71">
        <f t="shared" ca="1" si="86"/>
        <v>47506</v>
      </c>
      <c r="BJ97" s="71">
        <f t="shared" ca="1" si="64"/>
        <v>47537</v>
      </c>
      <c r="BK97" s="72">
        <f t="shared" ca="1" si="65"/>
        <v>31</v>
      </c>
      <c r="BL97" s="73">
        <f ca="1">SUM(BK$15:BK97)/360</f>
        <v>7.0250000000000004</v>
      </c>
      <c r="BM97" s="74">
        <f t="shared" si="66"/>
        <v>25000000</v>
      </c>
      <c r="BN97" s="59">
        <f t="shared" si="87"/>
        <v>0.05</v>
      </c>
      <c r="BO97" s="57">
        <f>Volatilities_Resets!$E86*0.01</f>
        <v>2.9650800000000001E-2</v>
      </c>
      <c r="BP97" s="61">
        <f>IF(BN97=BQ$11,Volatilities_Resets!$AA86,IF(BN97&gt;=BP$11,IF(BN97&lt;BQ$11,(((Volatilities_Resets!$AA86-Volatilities_Resets!$Y86)/50)*((Calculator!BN97-Calculator!BP$11)*10000)+Volatilities_Resets!$Y86)),IF(BN97&gt;=BP$10,IF(BN97&lt;BQ$10,(((Volatilities_Resets!$Y86-Volatilities_Resets!$W86)/50)*((Calculator!BN97-Calculator!BP$10)*10000)+Volatilities_Resets!$W86)),IF(BN97&gt;=BP$9,IF(BN97&lt;BQ$9,(((Volatilities_Resets!$W86-Volatilities_Resets!$U86)/50)*((Calculator!BN97-Calculator!BP$9)*10000)+Volatilities_Resets!$U86)),IF(BN97&gt;=BP$8,IF(BN97&lt;BQ$8,(((Volatilities_Resets!$U86-Volatilities_Resets!$S86)/50)*((Calculator!BN97-Calculator!BP$8)*10000)+Volatilities_Resets!$S86)),IF(BN97&gt;=BP$7,IF(BN97&lt;BQ$7,(((Volatilities_Resets!$S86-Volatilities_Resets!$Q86)/50)*((Calculator!BN97-Calculator!BP$7)*10000)+Volatilities_Resets!$Q86)),IF(BN97&gt;=BP$6,IF(BN97&lt;BQ$6,(((Volatilities_Resets!$Q86-Volatilities_Resets!$O86)/50)*((Calculator!BN97-Calculator!BP$6)*10000)+Volatilities_Resets!$O86)),IF(BN97&gt;=BP$5,IF(BN97&lt;BQ$5,(((Volatilities_Resets!$O86-Volatilities_Resets!$M86)/50)*((Calculator!BN97-Calculator!BP$5)*10000)+Volatilities_Resets!$M86)),IF(BN97&gt;=BP$4,IF(BN97&lt;BQ$4,(((Volatilities_Resets!$M86-Volatilities_Resets!$K86)/50)*((Calculator!BN97-Calculator!BP$4)*10000)+Volatilities_Resets!$K86)),IF(BN97&gt;=BP$3,IF(BN97&lt;BQ$3,(((Volatilities_Resets!$K86-Volatilities_Resets!$I86)/50)*((Calculator!BN97-Calculator!BP$3)*10000)+Volatilities_Resets!$I86)),IF(BN97&gt;=BP$2,IF(BN97&lt;BQ$2,(((Volatilities_Resets!$I86-Volatilities_Resets!$G86)/50)*((Calculator!BN97-Calculator!BP$2)*10000)+Volatilities_Resets!$G86)),"Well, something broke...")))))))))))/10000</f>
        <v>1.2529999999999999E-2</v>
      </c>
      <c r="BQ97" s="63">
        <f t="shared" ca="1" si="88"/>
        <v>9462.8244538384351</v>
      </c>
      <c r="BR97" s="63">
        <f t="shared" ca="1" si="89"/>
        <v>3.8456820463020342E-4</v>
      </c>
      <c r="BS97" s="63">
        <f t="shared" ca="1" si="99"/>
        <v>663065.9332885514</v>
      </c>
      <c r="BV97" s="63">
        <f t="shared" ca="1" si="90"/>
        <v>121.28009602646098</v>
      </c>
      <c r="BW97" s="63">
        <f ca="1">SUM($BV$15:BV97)</f>
        <v>7602.8919335912033</v>
      </c>
      <c r="BY97" s="52">
        <f ca="1">EXP(-AVERAGE(BO$15:BO97)*BL97)</f>
        <v>0.80115976830143154</v>
      </c>
      <c r="CA97" s="52">
        <f t="shared" ca="1" si="91"/>
        <v>83</v>
      </c>
      <c r="CB97" s="71">
        <f t="shared" ca="1" si="92"/>
        <v>47506</v>
      </c>
      <c r="CC97" s="71">
        <f t="shared" ca="1" si="67"/>
        <v>47537</v>
      </c>
      <c r="CD97" s="72">
        <f t="shared" ca="1" si="68"/>
        <v>31</v>
      </c>
      <c r="CE97" s="73">
        <f ca="1">SUM(CD$15:CD97)/360</f>
        <v>7.0250000000000004</v>
      </c>
      <c r="CF97" s="74">
        <f t="shared" si="69"/>
        <v>25000000</v>
      </c>
      <c r="CG97" s="59">
        <f t="shared" si="93"/>
        <v>0.06</v>
      </c>
      <c r="CH97" s="57">
        <f>Volatilities_Resets!$E86*0.01</f>
        <v>2.9650800000000001E-2</v>
      </c>
      <c r="CI97" s="61">
        <f>IF(CG97=CJ$11,Volatilities_Resets!$AA86,IF(CG97&gt;=CI$11,IF(CG97&lt;CJ$11,(((Volatilities_Resets!$AA86-Volatilities_Resets!$Y86)/50)*((Calculator!CG97-Calculator!CI$11)*10000)+Volatilities_Resets!$Y86)),IF(CG97&gt;=CI$10,IF(CG97&lt;CJ$10,(((Volatilities_Resets!$Y86-Volatilities_Resets!$W86)/50)*((Calculator!CG97-Calculator!CI$10)*10000)+Volatilities_Resets!$W86)),IF(CG97&gt;=CI$9,IF(CG97&lt;CJ$9,(((Volatilities_Resets!$W86-Volatilities_Resets!$U86)/50)*((Calculator!CG97-Calculator!CI$9)*10000)+Volatilities_Resets!$U86)),IF(CG97&gt;=CI$8,IF(CG97&lt;CJ$8,(((Volatilities_Resets!$U86-Volatilities_Resets!$S86)/50)*((Calculator!CG97-Calculator!CI$8)*10000)+Volatilities_Resets!$S86)),IF(CG97&gt;=CI$7,IF(CG97&lt;CJ$7,(((Volatilities_Resets!$S86-Volatilities_Resets!$Q86)/50)*((Calculator!CG97-Calculator!CI$7)*10000)+Volatilities_Resets!$Q86)),IF(CG97&gt;=CI$6,IF(CG97&lt;CJ$6,(((Volatilities_Resets!$Q86-Volatilities_Resets!$O86)/50)*((Calculator!CG97-Calculator!CI$6)*10000)+Volatilities_Resets!$O86)),IF(CG97&gt;=CI$5,IF(CG97&lt;CJ$5,(((Volatilities_Resets!$O86-Volatilities_Resets!$M86)/50)*((Calculator!CG97-Calculator!CI$5)*10000)+Volatilities_Resets!$M86)),IF(CG97&gt;=CI$4,IF(CG97&lt;CJ$4,(((Volatilities_Resets!$M86-Volatilities_Resets!$K86)/50)*((Calculator!CG97-Calculator!CI$4)*10000)+Volatilities_Resets!$K86)),IF(CG97&gt;=CI$3,IF(CG97&lt;CJ$3,(((Volatilities_Resets!$K86-Volatilities_Resets!$I86)/50)*((Calculator!CG97-Calculator!CI$3)*10000)+Volatilities_Resets!$I86)),IF(CG97&gt;=CI$2,IF(CG97&lt;CJ$2,(((Volatilities_Resets!$I86-Volatilities_Resets!$G86)/50)*((Calculator!CG97-Calculator!CI$2)*10000)+Volatilities_Resets!$G86)),"Well, something broke...")))))))))))/10000</f>
        <v>1.3786000000000001E-2</v>
      </c>
      <c r="CJ97" s="63">
        <f t="shared" ca="1" si="94"/>
        <v>7175.5651213143883</v>
      </c>
      <c r="CK97" s="63">
        <f t="shared" ca="1" si="95"/>
        <v>2.9220208231523132E-4</v>
      </c>
      <c r="CL97" s="63">
        <f t="shared" ca="1" si="100"/>
        <v>414891.9167487821</v>
      </c>
      <c r="CO97" s="63">
        <f t="shared" ca="1" si="96"/>
        <v>103.73972409759511</v>
      </c>
      <c r="CP97" s="63">
        <f ca="1">SUM($CO$15:CO97)</f>
        <v>6024.0667158882598</v>
      </c>
      <c r="CR97" s="52">
        <f ca="1">EXP(-AVERAGE(CH$15:CH97)*CE97)</f>
        <v>0.80115976830143154</v>
      </c>
      <c r="CT97"/>
      <c r="CU97"/>
      <c r="CV97"/>
      <c r="CW97"/>
      <c r="CX97"/>
      <c r="CY97"/>
      <c r="CZ97"/>
      <c r="DA97"/>
      <c r="DB97"/>
      <c r="DC97"/>
      <c r="DD97"/>
      <c r="DE97"/>
      <c r="DF97"/>
      <c r="DG97"/>
      <c r="DH97"/>
      <c r="DI97"/>
      <c r="DJ97"/>
      <c r="DK97"/>
      <c r="DL97"/>
    </row>
    <row r="98" spans="2:116" ht="15.75" customHeight="1">
      <c r="B98" s="52">
        <v>7</v>
      </c>
      <c r="C98" s="75">
        <f t="shared" ca="1" si="52"/>
        <v>84</v>
      </c>
      <c r="D98" s="76">
        <f t="shared" ca="1" si="70"/>
        <v>47537</v>
      </c>
      <c r="E98" s="76">
        <f t="shared" ca="1" si="53"/>
        <v>47565</v>
      </c>
      <c r="F98" s="77">
        <f t="shared" ca="1" si="54"/>
        <v>28</v>
      </c>
      <c r="G98" s="78">
        <f ca="1">SUM($F$15:F98)/360</f>
        <v>7.1027777777777779</v>
      </c>
      <c r="H98" s="79">
        <f t="shared" si="56"/>
        <v>25000000</v>
      </c>
      <c r="I98" s="80">
        <f>IF('Cap Pricer'!$E$22=DataValidation!$C$2,'Cap Pricer'!$E$23,IF('Cap Pricer'!$E$22=DataValidation!$C$3,VLOOKUP($B98,'Cap Pricer'!$C$25:$E$31,3),""))</f>
        <v>0.02</v>
      </c>
      <c r="J98" s="81">
        <f>Volatilities_Resets!$E87*0.01</f>
        <v>2.9647100000000003E-2</v>
      </c>
      <c r="K98" s="82">
        <f>IF(I98=L$11,Volatilities_Resets!$AA87,IF(I98&gt;=K$11,IF(I98&lt;L$11,(((Volatilities_Resets!$AA87-Volatilities_Resets!$Y87)/50)*((Calculator!I98-Calculator!K$11)*10000)+Volatilities_Resets!$Y87)),IF(I98&gt;=K$10,IF(I98&lt;L$10,(((Volatilities_Resets!$Y87-Volatilities_Resets!$W87)/50)*((Calculator!I98-Calculator!K$10)*10000)+Volatilities_Resets!$W87)),IF(I98&gt;=K$9,IF(I98&lt;L$9,(((Volatilities_Resets!$W87-Volatilities_Resets!$U87)/50)*((Calculator!I98-Calculator!K$9)*10000)+Volatilities_Resets!$U87)),IF(I98&gt;=K$8,IF(I98&lt;L$8,(((Volatilities_Resets!$U87-Volatilities_Resets!$S87)/50)*((Calculator!I98-Calculator!K$8)*10000)+Volatilities_Resets!$S87)),IF(I98&gt;=K$7,IF(I98&lt;L$7,(((Volatilities_Resets!$S87-Volatilities_Resets!$Q87)/50)*((Calculator!I98-Calculator!K$7)*10000)+Volatilities_Resets!$Q87)),IF(I98&gt;=K$6,IF(I98&lt;L$6,(((Volatilities_Resets!$Q87-Volatilities_Resets!$O87)/50)*((Calculator!I98-Calculator!K$6)*10000)+Volatilities_Resets!$O87)),IF(I98&gt;=K$5,IF(I98&lt;L$5,(((Volatilities_Resets!$O87-Volatilities_Resets!$M87)/50)*((Calculator!I98-Calculator!K$5)*10000)+Volatilities_Resets!$M87)),IF(I98&gt;=K$4,IF(I98&lt;L$4,(((Volatilities_Resets!$M87-Volatilities_Resets!$K87)/50)*((Calculator!I98-Calculator!K$4)*10000)+Volatilities_Resets!$K87)),IF(I98&gt;=K$3,IF(I98&lt;L$3,(((Volatilities_Resets!$K87-Volatilities_Resets!$I87)/50)*((Calculator!I98-Calculator!K$3)*10000)+Volatilities_Resets!$I87)),IF(I98&gt;=K$2,IF(I98&lt;L$2,(((Volatilities_Resets!$I87-Volatilities_Resets!$G87)/50)*((Calculator!I98-Calculator!K$2)*10000)+Volatilities_Resets!$G87)),"Well, something broke...")))))))))))/10000</f>
        <v>1.0722000000000001E-2</v>
      </c>
      <c r="L98" s="83">
        <f t="shared" ca="1" si="71"/>
        <v>26215.378733562025</v>
      </c>
      <c r="M98" s="84">
        <f t="shared" ca="1" si="72"/>
        <v>1.0548623025918094E-3</v>
      </c>
      <c r="N98" s="84">
        <f t="shared" ca="1" si="55"/>
        <v>2788153.9207921494</v>
      </c>
      <c r="O98" s="84">
        <f ca="1">SUM(L87:L98)</f>
        <v>346713.66738384939</v>
      </c>
      <c r="P98" s="49"/>
      <c r="Q98" s="84">
        <f t="shared" ca="1" si="73"/>
        <v>124.83762371336076</v>
      </c>
      <c r="R98" s="84">
        <f ca="1">SUM($Q$15:Q98)</f>
        <v>8771.76314757609</v>
      </c>
      <c r="T98" s="52">
        <f ca="1">EXP(-AVERAGE(J$15:J98)*G98)</f>
        <v>0.79932486834243388</v>
      </c>
      <c r="U98" s="57"/>
      <c r="V98" s="75">
        <f t="shared" ca="1" si="74"/>
        <v>84</v>
      </c>
      <c r="W98" s="76">
        <f t="shared" ca="1" si="75"/>
        <v>47537</v>
      </c>
      <c r="X98" s="76">
        <f t="shared" ca="1" si="57"/>
        <v>47565</v>
      </c>
      <c r="Y98" s="77">
        <f t="shared" ca="1" si="58"/>
        <v>28</v>
      </c>
      <c r="Z98" s="78">
        <f ca="1">SUM(Y$15:Y98)/360</f>
        <v>7.1027777777777779</v>
      </c>
      <c r="AA98" s="79">
        <f t="shared" si="59"/>
        <v>25000000</v>
      </c>
      <c r="AB98" s="80">
        <f t="shared" si="76"/>
        <v>0.03</v>
      </c>
      <c r="AC98" s="81">
        <f>Volatilities_Resets!$E87*0.01</f>
        <v>2.9647100000000003E-2</v>
      </c>
      <c r="AD98" s="82">
        <f>IF(AB98=AE$11,Volatilities_Resets!$AA87,IF(AB98&gt;=AD$11,IF(AB98&lt;AE$11,(((Volatilities_Resets!$AA87-Volatilities_Resets!$Y87)/50)*((Calculator!AB98-Calculator!AD$11)*10000)+Volatilities_Resets!$Y87)),IF(AB98&gt;=AD$10,IF(AB98&lt;AE$10,(((Volatilities_Resets!$Y87-Volatilities_Resets!$W87)/50)*((Calculator!AB98-Calculator!AD$10)*10000)+Volatilities_Resets!$W87)),IF(AB98&gt;=AD$9,IF(AB98&lt;AE$9,(((Volatilities_Resets!$W87-Volatilities_Resets!$U87)/50)*((Calculator!AB98-Calculator!AD$9)*10000)+Volatilities_Resets!$U87)),IF(AB98&gt;=AD$8,IF(AB98&lt;AE$8,(((Volatilities_Resets!$U87-Volatilities_Resets!$S87)/50)*((Calculator!AB98-Calculator!AD$8)*10000)+Volatilities_Resets!$S87)),IF(AB98&gt;=AD$7,IF(AB98&lt;AE$7,(((Volatilities_Resets!$S87-Volatilities_Resets!$Q87)/50)*((Calculator!AB98-Calculator!AD$7)*10000)+Volatilities_Resets!$Q87)),IF(AB98&gt;=AD$6,IF(AB98&lt;AE$6,(((Volatilities_Resets!$Q87-Volatilities_Resets!$O87)/50)*((Calculator!AB98-Calculator!AD$6)*10000)+Volatilities_Resets!$O87)),IF(AB98&gt;=AD$5,IF(AB98&lt;AE$5,(((Volatilities_Resets!$O87-Volatilities_Resets!$M87)/50)*((Calculator!AB98-Calculator!AD$5)*10000)+Volatilities_Resets!$M87)),IF(AB98&gt;=AD$4,IF(AB98&lt;AE$4,(((Volatilities_Resets!$M87-Volatilities_Resets!$K87)/50)*((Calculator!AB98-Calculator!AD$4)*10000)+Volatilities_Resets!$K87)),IF(AB98&gt;=AD$3,IF(AB98&lt;AE$3,(((Volatilities_Resets!$K87-Volatilities_Resets!$I87)/50)*((Calculator!AB98-Calculator!AD$3)*10000)+Volatilities_Resets!$I87)),IF(AB98&gt;=AD$2,IF(AB98&lt;AE$2,(((Volatilities_Resets!$I87-Volatilities_Resets!$G87)/50)*((Calculator!AB98-Calculator!AD$2)*10000)+Volatilities_Resets!$G87)),"Well, something broke...")))))))))))/10000</f>
        <v>1.0763999999999999E-2</v>
      </c>
      <c r="AE98" s="84">
        <f t="shared" ca="1" si="77"/>
        <v>17514.674268400653</v>
      </c>
      <c r="AF98" s="84">
        <f t="shared" ca="1" si="78"/>
        <v>7.071964991848381E-4</v>
      </c>
      <c r="AG98" s="84">
        <f t="shared" ca="1" si="97"/>
        <v>1840399.7279378427</v>
      </c>
      <c r="AH98" s="84">
        <f ca="1">SUM(AE87:AE98)</f>
        <v>230548.59121189866</v>
      </c>
      <c r="AI98" s="49"/>
      <c r="AJ98" s="84">
        <f t="shared" ca="1" si="79"/>
        <v>132.07901142880618</v>
      </c>
      <c r="AK98" s="84">
        <f ca="1">SUM($AJ$15:AJ98)</f>
        <v>9415.2049979410658</v>
      </c>
      <c r="AM98" s="52">
        <f ca="1">EXP(-AVERAGE(AC$15:AC98)*Z98)</f>
        <v>0.79932486834243388</v>
      </c>
      <c r="AO98" s="75">
        <f t="shared" ca="1" si="80"/>
        <v>84</v>
      </c>
      <c r="AP98" s="76">
        <f t="shared" ca="1" si="81"/>
        <v>47537</v>
      </c>
      <c r="AQ98" s="76">
        <f t="shared" ca="1" si="60"/>
        <v>47565</v>
      </c>
      <c r="AR98" s="77">
        <f t="shared" ca="1" si="61"/>
        <v>28</v>
      </c>
      <c r="AS98" s="78">
        <f ca="1">SUM(AR$15:AR98)/360</f>
        <v>7.1027777777777779</v>
      </c>
      <c r="AT98" s="79">
        <f t="shared" si="62"/>
        <v>25000000</v>
      </c>
      <c r="AU98" s="80">
        <f t="shared" si="82"/>
        <v>0.04</v>
      </c>
      <c r="AV98" s="81">
        <f>Volatilities_Resets!$E87*0.01</f>
        <v>2.9647100000000003E-2</v>
      </c>
      <c r="AW98" s="82">
        <f>IF(AU98=AX$11,Volatilities_Resets!$AA87,IF(AU98&gt;=AW$11,IF(AU98&lt;AX$11,(((Volatilities_Resets!$AA87-Volatilities_Resets!$Y87)/50)*((Calculator!AU98-Calculator!AW$11)*10000)+Volatilities_Resets!$Y87)),IF(AU98&gt;=AW$10,IF(AU98&lt;AX$10,(((Volatilities_Resets!$Y87-Volatilities_Resets!$W87)/50)*((Calculator!AU98-Calculator!AW$10)*10000)+Volatilities_Resets!$W87)),IF(AU98&gt;=AW$9,IF(AU98&lt;AX$9,(((Volatilities_Resets!$W87-Volatilities_Resets!$U87)/50)*((Calculator!AU98-Calculator!AW$9)*10000)+Volatilities_Resets!$U87)),IF(AU98&gt;=AW$8,IF(AU98&lt;AX$8,(((Volatilities_Resets!$U87-Volatilities_Resets!$S87)/50)*((Calculator!AU98-Calculator!AW$8)*10000)+Volatilities_Resets!$S87)),IF(AU98&gt;=AW$7,IF(AU98&lt;AX$7,(((Volatilities_Resets!$S87-Volatilities_Resets!$Q87)/50)*((Calculator!AU98-Calculator!AW$7)*10000)+Volatilities_Resets!$Q87)),IF(AU98&gt;=AW$6,IF(AU98&lt;AX$6,(((Volatilities_Resets!$Q87-Volatilities_Resets!$O87)/50)*((Calculator!AU98-Calculator!AW$6)*10000)+Volatilities_Resets!$O87)),IF(AU98&gt;=AW$5,IF(AU98&lt;AX$5,(((Volatilities_Resets!$O87-Volatilities_Resets!$M87)/50)*((Calculator!AU98-Calculator!AW$5)*10000)+Volatilities_Resets!$M87)),IF(AU98&gt;=AW$4,IF(AU98&lt;AX$4,(((Volatilities_Resets!$M87-Volatilities_Resets!$K87)/50)*((Calculator!AU98-Calculator!AW$4)*10000)+Volatilities_Resets!$K87)),IF(AU98&gt;=AW$3,IF(AU98&lt;AX$3,(((Volatilities_Resets!$K87-Volatilities_Resets!$I87)/50)*((Calculator!AU98-Calculator!AW$3)*10000)+Volatilities_Resets!$I87)),IF(AU98&gt;=AW$2,IF(AU98&lt;AX$2,(((Volatilities_Resets!$I87-Volatilities_Resets!$G87)/50)*((Calculator!AU98-Calculator!AW$2)*10000)+Volatilities_Resets!$G87)),"Well, something broke...")))))))))))/10000</f>
        <v>1.1441E-2</v>
      </c>
      <c r="AX98" s="84">
        <f t="shared" ca="1" si="83"/>
        <v>11940.305929964876</v>
      </c>
      <c r="AY98" s="84">
        <f t="shared" ca="1" si="84"/>
        <v>4.8385513792315493E-4</v>
      </c>
      <c r="AZ98" s="84">
        <f t="shared" ca="1" si="98"/>
        <v>1143006.662330413</v>
      </c>
      <c r="BA98" s="84">
        <f ca="1">SUM(AX87:AX98)</f>
        <v>152685.96668356287</v>
      </c>
      <c r="BB98" s="49"/>
      <c r="BC98" s="84">
        <f t="shared" ca="1" si="63"/>
        <v>124.75264499334274</v>
      </c>
      <c r="BD98" s="84">
        <f ca="1">SUM($BC$15:BC98)</f>
        <v>8955.3126961178405</v>
      </c>
      <c r="BF98" s="52">
        <f ca="1">EXP(-AVERAGE(AV$15:AV98)*AS98)</f>
        <v>0.79932486834243388</v>
      </c>
      <c r="BH98" s="75">
        <f t="shared" ca="1" si="85"/>
        <v>84</v>
      </c>
      <c r="BI98" s="76">
        <f t="shared" ca="1" si="86"/>
        <v>47537</v>
      </c>
      <c r="BJ98" s="76">
        <f t="shared" ca="1" si="64"/>
        <v>47565</v>
      </c>
      <c r="BK98" s="77">
        <f t="shared" ca="1" si="65"/>
        <v>28</v>
      </c>
      <c r="BL98" s="78">
        <f ca="1">SUM(BK$15:BK98)/360</f>
        <v>7.1027777777777779</v>
      </c>
      <c r="BM98" s="79">
        <f t="shared" si="66"/>
        <v>25000000</v>
      </c>
      <c r="BN98" s="80">
        <f t="shared" si="87"/>
        <v>0.05</v>
      </c>
      <c r="BO98" s="81">
        <f>Volatilities_Resets!$E87*0.01</f>
        <v>2.9647100000000003E-2</v>
      </c>
      <c r="BP98" s="82">
        <f>IF(BN98=BQ$11,Volatilities_Resets!$AA87,IF(BN98&gt;=BP$11,IF(BN98&lt;BQ$11,(((Volatilities_Resets!$AA87-Volatilities_Resets!$Y87)/50)*((Calculator!BN98-Calculator!BP$11)*10000)+Volatilities_Resets!$Y87)),IF(BN98&gt;=BP$10,IF(BN98&lt;BQ$10,(((Volatilities_Resets!$Y87-Volatilities_Resets!$W87)/50)*((Calculator!BN98-Calculator!BP$10)*10000)+Volatilities_Resets!$W87)),IF(BN98&gt;=BP$9,IF(BN98&lt;BQ$9,(((Volatilities_Resets!$W87-Volatilities_Resets!$U87)/50)*((Calculator!BN98-Calculator!BP$9)*10000)+Volatilities_Resets!$U87)),IF(BN98&gt;=BP$8,IF(BN98&lt;BQ$8,(((Volatilities_Resets!$U87-Volatilities_Resets!$S87)/50)*((Calculator!BN98-Calculator!BP$8)*10000)+Volatilities_Resets!$S87)),IF(BN98&gt;=BP$7,IF(BN98&lt;BQ$7,(((Volatilities_Resets!$S87-Volatilities_Resets!$Q87)/50)*((Calculator!BN98-Calculator!BP$7)*10000)+Volatilities_Resets!$Q87)),IF(BN98&gt;=BP$6,IF(BN98&lt;BQ$6,(((Volatilities_Resets!$Q87-Volatilities_Resets!$O87)/50)*((Calculator!BN98-Calculator!BP$6)*10000)+Volatilities_Resets!$O87)),IF(BN98&gt;=BP$5,IF(BN98&lt;BQ$5,(((Volatilities_Resets!$O87-Volatilities_Resets!$M87)/50)*((Calculator!BN98-Calculator!BP$5)*10000)+Volatilities_Resets!$M87)),IF(BN98&gt;=BP$4,IF(BN98&lt;BQ$4,(((Volatilities_Resets!$M87-Volatilities_Resets!$K87)/50)*((Calculator!BN98-Calculator!BP$4)*10000)+Volatilities_Resets!$K87)),IF(BN98&gt;=BP$3,IF(BN98&lt;BQ$3,(((Volatilities_Resets!$K87-Volatilities_Resets!$I87)/50)*((Calculator!BN98-Calculator!BP$3)*10000)+Volatilities_Resets!$I87)),IF(BN98&gt;=BP$2,IF(BN98&lt;BQ$2,(((Volatilities_Resets!$I87-Volatilities_Resets!$G87)/50)*((Calculator!BN98-Calculator!BP$2)*10000)+Volatilities_Resets!$G87)),"Well, something broke...")))))))))))/10000</f>
        <v>1.2584999999999999E-2</v>
      </c>
      <c r="BQ98" s="84">
        <f t="shared" ca="1" si="88"/>
        <v>8695.7963460120136</v>
      </c>
      <c r="BR98" s="84">
        <f t="shared" ca="1" si="89"/>
        <v>3.5333832837914085E-4</v>
      </c>
      <c r="BS98" s="84">
        <f t="shared" ca="1" si="99"/>
        <v>671761.72963456344</v>
      </c>
      <c r="BT98" s="84">
        <f ca="1">SUM(BQ87:BQ98)</f>
        <v>105654.83672918327</v>
      </c>
      <c r="BU98" s="49"/>
      <c r="BV98" s="84">
        <f t="shared" ca="1" si="90"/>
        <v>110.03655089114083</v>
      </c>
      <c r="BW98" s="84">
        <f ca="1">SUM($BV$15:BV98)</f>
        <v>7712.9284844823442</v>
      </c>
      <c r="BY98" s="52">
        <f ca="1">EXP(-AVERAGE(BO$15:BO98)*BL98)</f>
        <v>0.79932486834243388</v>
      </c>
      <c r="CA98" s="75">
        <f t="shared" ca="1" si="91"/>
        <v>84</v>
      </c>
      <c r="CB98" s="76">
        <f t="shared" ca="1" si="92"/>
        <v>47537</v>
      </c>
      <c r="CC98" s="76">
        <f t="shared" ca="1" si="67"/>
        <v>47565</v>
      </c>
      <c r="CD98" s="77">
        <f t="shared" ca="1" si="68"/>
        <v>28</v>
      </c>
      <c r="CE98" s="78">
        <f ca="1">SUM(CD$15:CD98)/360</f>
        <v>7.1027777777777779</v>
      </c>
      <c r="CF98" s="79">
        <f t="shared" si="69"/>
        <v>25000000</v>
      </c>
      <c r="CG98" s="80">
        <f t="shared" si="93"/>
        <v>0.06</v>
      </c>
      <c r="CH98" s="81">
        <f>Volatilities_Resets!$E87*0.01</f>
        <v>2.9647100000000003E-2</v>
      </c>
      <c r="CI98" s="82">
        <f>IF(CG98=CJ$11,Volatilities_Resets!$AA87,IF(CG98&gt;=CI$11,IF(CG98&lt;CJ$11,(((Volatilities_Resets!$AA87-Volatilities_Resets!$Y87)/50)*((Calculator!CG98-Calculator!CI$11)*10000)+Volatilities_Resets!$Y87)),IF(CG98&gt;=CI$10,IF(CG98&lt;CJ$10,(((Volatilities_Resets!$Y87-Volatilities_Resets!$W87)/50)*((Calculator!CG98-Calculator!CI$10)*10000)+Volatilities_Resets!$W87)),IF(CG98&gt;=CI$9,IF(CG98&lt;CJ$9,(((Volatilities_Resets!$W87-Volatilities_Resets!$U87)/50)*((Calculator!CG98-Calculator!CI$9)*10000)+Volatilities_Resets!$U87)),IF(CG98&gt;=CI$8,IF(CG98&lt;CJ$8,(((Volatilities_Resets!$U87-Volatilities_Resets!$S87)/50)*((Calculator!CG98-Calculator!CI$8)*10000)+Volatilities_Resets!$S87)),IF(CG98&gt;=CI$7,IF(CG98&lt;CJ$7,(((Volatilities_Resets!$S87-Volatilities_Resets!$Q87)/50)*((Calculator!CG98-Calculator!CI$7)*10000)+Volatilities_Resets!$Q87)),IF(CG98&gt;=CI$6,IF(CG98&lt;CJ$6,(((Volatilities_Resets!$Q87-Volatilities_Resets!$O87)/50)*((Calculator!CG98-Calculator!CI$6)*10000)+Volatilities_Resets!$O87)),IF(CG98&gt;=CI$5,IF(CG98&lt;CJ$5,(((Volatilities_Resets!$O87-Volatilities_Resets!$M87)/50)*((Calculator!CG98-Calculator!CI$5)*10000)+Volatilities_Resets!$M87)),IF(CG98&gt;=CI$4,IF(CG98&lt;CJ$4,(((Volatilities_Resets!$M87-Volatilities_Resets!$K87)/50)*((Calculator!CG98-Calculator!CI$4)*10000)+Volatilities_Resets!$K87)),IF(CG98&gt;=CI$3,IF(CG98&lt;CJ$3,(((Volatilities_Resets!$K87-Volatilities_Resets!$I87)/50)*((Calculator!CG98-Calculator!CI$3)*10000)+Volatilities_Resets!$I87)),IF(CG98&gt;=CI$2,IF(CG98&lt;CJ$2,(((Volatilities_Resets!$I87-Volatilities_Resets!$G87)/50)*((Calculator!CG98-Calculator!CI$2)*10000)+Volatilities_Resets!$G87)),"Well, something broke...")))))))))))/10000</f>
        <v>1.3963999999999999E-2</v>
      </c>
      <c r="CJ98" s="84">
        <f t="shared" ca="1" si="94"/>
        <v>6763.9071972591819</v>
      </c>
      <c r="CK98" s="84">
        <f t="shared" ca="1" si="95"/>
        <v>2.7530727748492656E-4</v>
      </c>
      <c r="CL98" s="84">
        <f t="shared" ca="1" si="100"/>
        <v>421655.82394604129</v>
      </c>
      <c r="CM98" s="84">
        <f ca="1">SUM(CJ87:CJ98)</f>
        <v>77566.620922436749</v>
      </c>
      <c r="CN98" s="49"/>
      <c r="CO98" s="84">
        <f t="shared" ca="1" si="96"/>
        <v>94.939603304184089</v>
      </c>
      <c r="CP98" s="84">
        <f ca="1">SUM($CO$15:CO98)</f>
        <v>6119.0063191924437</v>
      </c>
      <c r="CR98" s="52">
        <f ca="1">EXP(-AVERAGE(CH$15:CH98)*CE98)</f>
        <v>0.79932486834243388</v>
      </c>
      <c r="CT98"/>
      <c r="CU98"/>
      <c r="CV98"/>
      <c r="CW98"/>
      <c r="CX98"/>
      <c r="CY98"/>
      <c r="CZ98"/>
      <c r="DA98"/>
      <c r="DB98"/>
      <c r="DC98"/>
      <c r="DD98"/>
      <c r="DE98"/>
      <c r="DF98"/>
      <c r="DG98"/>
      <c r="DH98"/>
      <c r="DI98"/>
      <c r="DJ98"/>
      <c r="DK98"/>
      <c r="DL98"/>
    </row>
    <row r="99" spans="2:116" ht="15.75" customHeight="1">
      <c r="CT99"/>
      <c r="CU99"/>
      <c r="CV99"/>
      <c r="CW99"/>
      <c r="CX99"/>
      <c r="CY99"/>
      <c r="CZ99"/>
      <c r="DA99"/>
      <c r="DB99"/>
      <c r="DC99"/>
      <c r="DD99"/>
      <c r="DE99"/>
      <c r="DF99"/>
      <c r="DG99"/>
      <c r="DH99"/>
      <c r="DI99"/>
      <c r="DJ99"/>
      <c r="DK99"/>
      <c r="DL99"/>
    </row>
  </sheetData>
  <sheetProtection algorithmName="SHA-512" hashValue="U+z6MWXcGYyLaPeGCLrtT74Ubf9qRR4iaoDx9fyofRI2hoEXNxRJByFnnd827e7eg/fVvfuo7tEymkre6ZBGEQ==" saltValue="MWCBjubM+Ye7ehbv7xESiA==" spinCount="100000" sheet="1" objects="1" scenarios="1"/>
  <conditionalFormatting sqref="A5:B6">
    <cfRule type="expression" dxfId="0" priority="36">
      <formula>$B$4=$T$3</formula>
    </cfRule>
  </conditionalFormatting>
  <dataValidations disablePrompts="1" count="1">
    <dataValidation type="list" allowBlank="1" showInputMessage="1" showErrorMessage="1" sqref="B4" xr:uid="{00000000-0002-0000-0100-000000000000}">
      <formula1>$T$2:$T$3</formula1>
    </dataValidation>
  </dataValidations>
  <pageMargins left="0.7" right="0.7" top="0.75" bottom="0.75" header="0.3" footer="0.3"/>
  <pageSetup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W50"/>
  <sheetViews>
    <sheetView showGridLines="0" zoomScaleNormal="100" workbookViewId="0">
      <selection activeCell="I13" sqref="I13"/>
    </sheetView>
  </sheetViews>
  <sheetFormatPr defaultColWidth="9.140625" defaultRowHeight="15"/>
  <cols>
    <col min="1" max="1" width="15.28515625" style="21" customWidth="1"/>
    <col min="2" max="2" width="20.5703125" style="21" customWidth="1"/>
    <col min="3" max="3" width="9.140625" style="21" customWidth="1"/>
    <col min="4" max="4" width="15.140625" style="21" bestFit="1" customWidth="1"/>
    <col min="5" max="5" width="9.140625" style="21" customWidth="1"/>
    <col min="6" max="6" width="13.140625" style="21" customWidth="1"/>
    <col min="7" max="7" width="13.7109375" style="21" bestFit="1" customWidth="1"/>
    <col min="8" max="8" width="18" style="21" customWidth="1"/>
    <col min="9" max="9" width="16.5703125" style="21" customWidth="1"/>
    <col min="10" max="10" width="14.140625" style="21" customWidth="1"/>
    <col min="11" max="11" width="10.5703125" style="21" customWidth="1"/>
    <col min="12" max="12" width="16.5703125" style="21" customWidth="1"/>
    <col min="13" max="16" width="11" style="21" customWidth="1"/>
    <col min="17" max="17" width="10.5703125" style="21" customWidth="1"/>
    <col min="18" max="18" width="12" style="21" customWidth="1"/>
    <col min="19" max="19" width="11" style="21" customWidth="1"/>
    <col min="20" max="22" width="11.140625" style="21" customWidth="1"/>
    <col min="23" max="16384" width="9.140625" style="21"/>
  </cols>
  <sheetData>
    <row r="1" spans="1:21">
      <c r="A1" s="20"/>
      <c r="B1" s="20" t="s">
        <v>66</v>
      </c>
      <c r="C1" s="20" t="s">
        <v>47</v>
      </c>
      <c r="D1" s="20" t="s">
        <v>73</v>
      </c>
      <c r="E1" s="20" t="s">
        <v>74</v>
      </c>
      <c r="F1" s="20" t="s">
        <v>75</v>
      </c>
      <c r="L1"/>
      <c r="M1"/>
      <c r="N1"/>
      <c r="O1"/>
      <c r="P1"/>
      <c r="Q1"/>
    </row>
    <row r="2" spans="1:21">
      <c r="A2" s="157"/>
      <c r="B2" s="22" t="s">
        <v>67</v>
      </c>
      <c r="C2" s="2" t="s">
        <v>50</v>
      </c>
      <c r="D2" s="2" t="s">
        <v>93</v>
      </c>
      <c r="E2" s="2" t="s">
        <v>32</v>
      </c>
      <c r="F2" s="2" t="s">
        <v>70</v>
      </c>
      <c r="H2" s="13" t="s">
        <v>37</v>
      </c>
      <c r="I2" s="13" t="s">
        <v>38</v>
      </c>
      <c r="J2" s="13" t="s">
        <v>53</v>
      </c>
      <c r="K2" s="2"/>
      <c r="L2"/>
      <c r="M2"/>
      <c r="N2"/>
      <c r="O2"/>
      <c r="P2"/>
      <c r="Q2"/>
    </row>
    <row r="3" spans="1:21">
      <c r="A3" s="157"/>
      <c r="B3" s="22" t="s">
        <v>62</v>
      </c>
      <c r="C3" s="2" t="s">
        <v>51</v>
      </c>
      <c r="D3" s="2" t="s">
        <v>93</v>
      </c>
      <c r="E3" s="2" t="s">
        <v>33</v>
      </c>
      <c r="F3" s="2" t="s">
        <v>71</v>
      </c>
      <c r="G3" s="158"/>
      <c r="H3" s="3">
        <v>0.02</v>
      </c>
      <c r="I3" s="24">
        <v>2</v>
      </c>
      <c r="J3" s="8">
        <v>10000</v>
      </c>
      <c r="K3" s="42"/>
      <c r="L3"/>
      <c r="M3"/>
      <c r="N3"/>
      <c r="O3"/>
      <c r="P3"/>
      <c r="Q3"/>
    </row>
    <row r="4" spans="1:21">
      <c r="B4" s="21" t="s">
        <v>88</v>
      </c>
      <c r="D4" s="2"/>
      <c r="E4" s="2"/>
      <c r="G4" s="158"/>
      <c r="H4" s="3">
        <v>2.5000000000000001E-2</v>
      </c>
      <c r="I4" s="24">
        <v>1</v>
      </c>
      <c r="J4" s="8">
        <v>10000</v>
      </c>
      <c r="K4" s="43"/>
      <c r="L4"/>
      <c r="M4"/>
      <c r="N4"/>
      <c r="O4"/>
      <c r="P4"/>
      <c r="Q4"/>
    </row>
    <row r="5" spans="1:21">
      <c r="B5" s="22" t="s">
        <v>68</v>
      </c>
      <c r="C5" s="2"/>
      <c r="D5" s="2"/>
      <c r="E5" s="2"/>
      <c r="G5" s="158"/>
      <c r="H5" s="3">
        <v>0.03</v>
      </c>
      <c r="I5" s="24">
        <v>4</v>
      </c>
      <c r="J5" s="8">
        <v>10000</v>
      </c>
      <c r="K5" s="43"/>
      <c r="L5"/>
      <c r="M5"/>
      <c r="N5"/>
      <c r="O5"/>
      <c r="P5"/>
      <c r="Q5"/>
    </row>
    <row r="6" spans="1:21">
      <c r="B6" s="22" t="s">
        <v>69</v>
      </c>
      <c r="C6" s="2"/>
      <c r="D6" s="2"/>
      <c r="E6" s="2"/>
      <c r="G6" s="158"/>
      <c r="H6" s="3">
        <v>3.5000000000000003E-2</v>
      </c>
      <c r="I6" s="24">
        <v>4</v>
      </c>
      <c r="J6" s="8">
        <v>10000</v>
      </c>
      <c r="K6" s="43"/>
      <c r="L6" s="159"/>
      <c r="M6" s="160"/>
      <c r="N6" s="161"/>
      <c r="O6" s="161"/>
      <c r="P6" s="161"/>
      <c r="Q6" s="161"/>
    </row>
    <row r="7" spans="1:21">
      <c r="C7" s="2"/>
      <c r="D7" s="2"/>
      <c r="E7" s="2"/>
      <c r="G7" s="158"/>
      <c r="H7" s="3">
        <v>0.04</v>
      </c>
      <c r="I7" s="24">
        <v>2</v>
      </c>
      <c r="J7" s="8">
        <v>10000</v>
      </c>
      <c r="K7" s="43"/>
      <c r="L7" s="156"/>
      <c r="M7" s="156"/>
      <c r="N7" s="162"/>
      <c r="O7" s="162"/>
      <c r="P7" s="162"/>
      <c r="Q7" s="162"/>
    </row>
    <row r="8" spans="1:21">
      <c r="B8" s="21" t="s">
        <v>63</v>
      </c>
      <c r="C8" s="2"/>
      <c r="E8" s="2"/>
      <c r="G8" s="158"/>
      <c r="H8" s="3">
        <v>4.4999999999999998E-2</v>
      </c>
      <c r="I8" s="24">
        <v>2</v>
      </c>
      <c r="J8" s="8">
        <v>10000</v>
      </c>
      <c r="K8" s="43"/>
      <c r="L8" s="1"/>
      <c r="M8" s="1"/>
    </row>
    <row r="9" spans="1:21">
      <c r="B9" s="21" t="s">
        <v>113</v>
      </c>
      <c r="G9" s="158"/>
      <c r="H9" s="3">
        <v>0.05</v>
      </c>
      <c r="I9" s="24">
        <v>8</v>
      </c>
      <c r="J9" s="8">
        <v>15000</v>
      </c>
      <c r="K9" s="43"/>
      <c r="L9"/>
      <c r="M9"/>
      <c r="N9"/>
      <c r="O9" s="156"/>
      <c r="P9" s="1"/>
      <c r="Q9" s="1"/>
    </row>
    <row r="10" spans="1:21">
      <c r="B10" s="22" t="s">
        <v>89</v>
      </c>
      <c r="H10" s="1" t="s">
        <v>115</v>
      </c>
      <c r="J10" s="3">
        <v>1.5E-3</v>
      </c>
      <c r="K10" s="2"/>
      <c r="L10"/>
      <c r="M10"/>
      <c r="N10"/>
      <c r="O10" s="156"/>
      <c r="P10" s="1"/>
      <c r="Q10" s="1"/>
      <c r="R10" s="41"/>
    </row>
    <row r="11" spans="1:21">
      <c r="B11" s="22" t="s">
        <v>90</v>
      </c>
      <c r="H11" s="1"/>
      <c r="I11" s="1"/>
      <c r="J11" s="1"/>
      <c r="K11" s="2"/>
      <c r="L11"/>
      <c r="M11"/>
      <c r="N11"/>
      <c r="O11" s="156"/>
      <c r="P11" s="1"/>
      <c r="Q11" s="1"/>
    </row>
    <row r="12" spans="1:21">
      <c r="H12" s="4"/>
      <c r="I12" s="4"/>
      <c r="J12" s="4"/>
      <c r="K12" s="2"/>
      <c r="L12" s="156"/>
      <c r="M12" s="163"/>
      <c r="N12" s="163"/>
      <c r="O12" s="156"/>
      <c r="P12" s="1"/>
      <c r="Q12" s="1"/>
    </row>
    <row r="13" spans="1:21">
      <c r="H13" s="1" t="s">
        <v>45</v>
      </c>
      <c r="I13" s="18">
        <f ca="1">DATE(YEAR(TODAY()),MONTH(TODAY()),MIN(28,DAY(TODAY())))</f>
        <v>45008</v>
      </c>
      <c r="J13" s="1"/>
      <c r="K13" s="1"/>
      <c r="L13" s="1" t="s">
        <v>57</v>
      </c>
      <c r="M13" s="1"/>
      <c r="N13" s="1"/>
      <c r="O13" s="1"/>
      <c r="P13" s="1"/>
      <c r="Q13" s="1"/>
    </row>
    <row r="14" spans="1:21">
      <c r="H14" s="1"/>
      <c r="I14" s="1"/>
      <c r="J14" s="1"/>
      <c r="K14" s="1"/>
      <c r="L14" s="14" t="s">
        <v>47</v>
      </c>
      <c r="M14" s="25">
        <v>12</v>
      </c>
      <c r="N14" s="25">
        <v>24</v>
      </c>
      <c r="O14" s="25">
        <v>36</v>
      </c>
      <c r="P14" s="25">
        <v>48</v>
      </c>
      <c r="Q14" s="1"/>
      <c r="R14" s="19"/>
      <c r="S14" s="19"/>
      <c r="T14" s="19"/>
      <c r="U14" s="19"/>
    </row>
    <row r="15" spans="1:21">
      <c r="H15" s="6" t="s">
        <v>29</v>
      </c>
      <c r="I15" s="7">
        <f ca="1">SUM(INDIRECT("Calculator!"&amp;ADDRESS(MATCH($I$13,Calculator!$D$1:$D$98,0),COLUMN(Calculator!$L$15))&amp;":"&amp;ADDRESS(MATCH(EDATE($I$13,'Cap Pricer'!$E$19),Calculator!$E$1:$E$98,0),COLUMN(Calculator!$L$15))))</f>
        <v>1430176.1160543612</v>
      </c>
      <c r="J15" s="5"/>
      <c r="K15" s="1"/>
      <c r="L15" s="16">
        <f>'Cap Pricer'!$G$19</f>
        <v>0.03</v>
      </c>
      <c r="M15" s="9">
        <f ca="1">Calculator!AA3</f>
        <v>431834.58847542864</v>
      </c>
      <c r="N15" s="9">
        <f ca="1">Calculator!AA4</f>
        <v>706734.78482051403</v>
      </c>
      <c r="O15" s="9">
        <f ca="1">Calculator!AA5</f>
        <v>948543.61931677023</v>
      </c>
      <c r="P15" s="9">
        <f ca="1">Calculator!AA6</f>
        <v>1164047.9345051805</v>
      </c>
      <c r="Q15" s="1"/>
      <c r="R15" s="19"/>
      <c r="S15" s="19"/>
      <c r="T15" s="19"/>
      <c r="U15" s="19"/>
    </row>
    <row r="16" spans="1:21">
      <c r="H16" s="6" t="s">
        <v>28</v>
      </c>
      <c r="I16" s="7">
        <f ca="1">IF('Cap Pricer'!E22=C2,MAX(SUM(INDIRECT("Calculator!"&amp;ADDRESS(MATCH($I$13,Calculator!$D$1:$D$98,0),COLUMN(Calculator!$Q$15))&amp;":"&amp;ADDRESS(MATCH(EDATE($I$13,'Cap Pricer'!$E$19),Calculator!$E$1:$E$98,0),COLUMN(Calculator!$Q$15))))*IF('Cap Pricer'!$E$23&gt;=$H$9,$I$9,IF('Cap Pricer'!$E$23&gt;=$H$8,$I$8,IF('Cap Pricer'!$E$23&gt;=$H$7,$I$7,IF('Cap Pricer'!$E$23&gt;=$H$6,$I$6,IF('Cap Pricer'!$E$23&gt;=$H$5,$I$5,IF('Cap Pricer'!$E$23&gt;=$H$4,$I$4,IF('Cap Pricer'!$E$23&gt;=$H$3,$I$3,1))))))),IF('Cap Pricer'!$E$23&gt;=$H$9,$J$9,IF('Cap Pricer'!$E$23&gt;=$H$8,$J$8,IF('Cap Pricer'!$E$23&gt;=$H$7,$J$7,IF('Cap Pricer'!$E$23&gt;=$H$6,$J$6,IF('Cap Pricer'!$E$23&gt;=$H$5,$J$5,IF('Cap Pricer'!$E$23&gt;=$H$4,$J$4,IF('Cap Pricer'!$E$23&gt;=$H$3,$J$3,1)))))))),IF('Cap Pricer'!E22=C3,I21,J3))</f>
        <v>10000</v>
      </c>
      <c r="J16" s="19">
        <f ca="1">IF(AND(notional&gt;50000000,I16&gt;($J$10*notional)),$J$10*notional,I16)</f>
        <v>10000</v>
      </c>
      <c r="L16" s="12">
        <f>'Cap Pricer'!$G$20</f>
        <v>0.04</v>
      </c>
      <c r="M16" s="9">
        <f ca="1">Calculator!AT3</f>
        <v>235228.85726091661</v>
      </c>
      <c r="N16" s="9">
        <f ca="1">Calculator!AT4</f>
        <v>397021.38122554944</v>
      </c>
      <c r="O16" s="9">
        <f ca="1">Calculator!AT5</f>
        <v>556920.40479490603</v>
      </c>
      <c r="P16" s="9">
        <f ca="1">Calculator!AT6</f>
        <v>698296.94911713596</v>
      </c>
      <c r="Q16" s="1"/>
      <c r="R16" s="19"/>
      <c r="S16" s="19"/>
      <c r="T16" s="19"/>
      <c r="U16" s="19"/>
    </row>
    <row r="17" spans="8:23">
      <c r="H17" s="164"/>
      <c r="I17" s="165"/>
      <c r="L17" s="12">
        <f>'Cap Pricer'!$G$21</f>
        <v>0.05</v>
      </c>
      <c r="M17" s="9">
        <f ca="1">Calculator!BM3</f>
        <v>87555.112018960193</v>
      </c>
      <c r="N17" s="9">
        <f ca="1">Calculator!BM4</f>
        <v>172736.23564216419</v>
      </c>
      <c r="O17" s="9">
        <f ca="1">Calculator!BM5</f>
        <v>268967.59496450535</v>
      </c>
      <c r="P17" s="9">
        <f ca="1">Calculator!BM6</f>
        <v>365757.12007333414</v>
      </c>
      <c r="Q17" s="1"/>
      <c r="R17" s="19"/>
      <c r="S17" s="19"/>
      <c r="T17" s="19"/>
      <c r="U17" s="19"/>
    </row>
    <row r="18" spans="8:23">
      <c r="H18" s="1"/>
      <c r="I18" s="1"/>
      <c r="L18" s="12">
        <f>'Cap Pricer'!$G$22</f>
        <v>0.06</v>
      </c>
      <c r="M18" s="9">
        <f ca="1">Calculator!CF3</f>
        <v>21285.763988866678</v>
      </c>
      <c r="N18" s="9">
        <f ca="1">Calculator!CF4</f>
        <v>68483.433766395145</v>
      </c>
      <c r="O18" s="9">
        <f ca="1">Calculator!CF5</f>
        <v>128560.37123207185</v>
      </c>
      <c r="P18" s="9">
        <f ca="1">Calculator!CF6</f>
        <v>198282.82157554108</v>
      </c>
      <c r="Q18" s="1"/>
    </row>
    <row r="19" spans="8:23">
      <c r="H19" s="1"/>
      <c r="I19" s="1"/>
      <c r="J19" s="1"/>
      <c r="K19" s="1"/>
      <c r="L19" s="1"/>
      <c r="M19" s="1"/>
      <c r="N19" s="1"/>
      <c r="O19" s="1"/>
      <c r="P19" s="1"/>
      <c r="Q19" s="1"/>
    </row>
    <row r="20" spans="8:23">
      <c r="H20" s="10" t="s">
        <v>51</v>
      </c>
      <c r="I20" s="26" t="e">
        <f>IF('Cap Pricer'!E19&lt;=12,'Cap Pricer'!E25,IF(AND('Cap Pricer'!E19&gt;12,'Cap Pricer'!E19&lt;=24),AVERAGE('Cap Pricer'!E25:E26),IF(AND('Cap Pricer'!E19&gt;24,'Cap Pricer'!E19&lt;=36),AVERAGE('Cap Pricer'!E25:E27),IF(AND('Cap Pricer'!E19&gt;36,'Cap Pricer'!E19&lt;=48),AVERAGE('Cap Pricer'!E25:E28),IF(AND('Cap Pricer'!E19&gt;48,'Cap Pricer'!E19&lt;=60),AVERAGE('Cap Pricer'!E25:E29),IF(AND('Cap Pricer'!E19&gt;60,'Cap Pricer'!E19&lt;=72),AVERAGE('Cap Pricer'!E25:E30),IF(AND('Cap Pricer'!E19&gt;72,'Cap Pricer'!E19&lt;=84),AVERAGE('Cap Pricer'!E25:E31),'Cap Pricer'!E25)))))))</f>
        <v>#DIV/0!</v>
      </c>
      <c r="J20" s="1"/>
      <c r="K20" s="1"/>
      <c r="L20" s="1" t="s">
        <v>58</v>
      </c>
      <c r="M20" s="1"/>
      <c r="N20" s="1"/>
      <c r="O20" s="1"/>
      <c r="P20" s="1"/>
      <c r="Q20" s="1"/>
      <c r="R20" s="1" t="s">
        <v>76</v>
      </c>
      <c r="S20" s="1"/>
      <c r="T20" s="1"/>
      <c r="U20" s="1"/>
      <c r="V20" s="1"/>
    </row>
    <row r="21" spans="8:23">
      <c r="H21" s="11" t="s">
        <v>61</v>
      </c>
      <c r="I21" s="39" t="e">
        <f ca="1">MAX(8000,SUM(INDIRECT("Calculator!"&amp;ADDRESS(MATCH($I$13,Calculator!$D$1:$D$98,0),COLUMN(Calculator!$Q$15))&amp;":"&amp;ADDRESS(MATCH(EDATE($I$13,'Cap Pricer'!$E$19),Calculator!$E$1:$E$98,0),COLUMN(Calculator!$Q$15))))*IF($I$20&gt;=$H$9,$I$9,IF($I$20&gt;=$H$8,$I$8,IF($I$20&gt;=$H$7,$I$7,IF($I$20&gt;=$H$5,$I$5,IF($I$20&gt;=$H$4,$I$4,IF($I$20&gt;=$H$3,$I$3,1)))))),IF($I$20&gt;=$H$9,$J$9,IF($I$20&gt;=$H$8,$J$8,IF($I$20&gt;=$H$7,$J$7,IF($I$20&gt;=$H$5,$J$5,IF($I$20&gt;=$H$4,$J$4,IF($I$20&gt;=$J$3,$I$3,1)))))))</f>
        <v>#DIV/0!</v>
      </c>
      <c r="J21" s="19" t="e">
        <f ca="1">IF(AND(notional&gt;50000000,I21&gt;($J$10*notional)),$J$10*notional,I21)</f>
        <v>#DIV/0!</v>
      </c>
      <c r="K21" s="1"/>
      <c r="L21" s="14" t="s">
        <v>47</v>
      </c>
      <c r="M21" s="25">
        <v>12</v>
      </c>
      <c r="N21" s="25">
        <v>24</v>
      </c>
      <c r="O21" s="25">
        <v>36</v>
      </c>
      <c r="P21" s="25">
        <v>48</v>
      </c>
      <c r="Q21" s="1"/>
      <c r="R21" s="14" t="s">
        <v>47</v>
      </c>
      <c r="S21" s="25">
        <v>12</v>
      </c>
      <c r="T21" s="25">
        <v>24</v>
      </c>
      <c r="U21" s="25">
        <v>36</v>
      </c>
      <c r="V21" s="25">
        <v>48</v>
      </c>
    </row>
    <row r="22" spans="8:23">
      <c r="H22" s="1"/>
      <c r="I22" s="1"/>
      <c r="J22" s="1"/>
      <c r="K22" s="1"/>
      <c r="L22" s="16">
        <f>'Cap Pricer'!$G$19</f>
        <v>0.03</v>
      </c>
      <c r="M22" s="17">
        <f ca="1">MAX(SUM(INDIRECT("Calculator!"&amp;ADDRESS(MATCH($I$13,Calculator!$W$1:$W$98,0),COLUMN(Calculator!$AJ$15))&amp;":"&amp;ADDRESS(MATCH(EDATE($I$13,M$21),Calculator!$X$1:$X$98,0),COLUMN(Calculator!$AJ$15))))*IF($L22&gt;=$H$9,$I$9,IF($L22&gt;=$H$8,$I$8,IF($L22&gt;=$H$7,$I$7,IF($L22&gt;=$H$6,$I$6,IF($L22&gt;=$H$5,$I$5,IF($L22&gt;=$H$4,$I$4,IF($L22&gt;=$H$3,$I$3,1))))))),IF($L22&gt;=$H$9,$J$9,IF($L22&gt;=$H$8,$J$8,IF($L22&gt;=$H$7,$J$7,IF($L22&gt;=$H$6,$J$6,IF($L22&gt;=$H$5,$J$5,IF($L22&gt;=$H$4,$J$4,IF($L22&gt;=$H$3,$J$3,1))))))))</f>
        <v>10000</v>
      </c>
      <c r="N22" s="17">
        <f ca="1">MAX(SUM(INDIRECT("Calculator!"&amp;ADDRESS(MATCH($I$13,Calculator!$W$1:$W$98,0),COLUMN(Calculator!$AJ$15))&amp;":"&amp;ADDRESS(MATCH(EDATE($I$13,N$21),Calculator!$X$1:$X$98,0),COLUMN(Calculator!$AJ$15))))*IF($L22&gt;=$H$9,$I$9,IF($L22&gt;=$H$8,$I$8,IF($L22&gt;=$H$7,$I$7,IF($L22&gt;=$H$6,$I$6,IF($L22&gt;=$H$5,$I$5,IF($L22&gt;=$H$4,$I$4,IF($L22&gt;=$H$3,$I$3,1))))))),IF($L22&gt;=$H$9,$J$9,IF($L22&gt;=$H$8,$J$8,IF($L22&gt;=$H$7,$J$7,IF($L22&gt;=$H$6,$J$6,IF($L22&gt;=$H$5,$J$5,IF($L22&gt;=$H$4,$J$4,IF($L22&gt;=$H$3,$J$3,1))))))))</f>
        <v>10000</v>
      </c>
      <c r="O22" s="17">
        <f ca="1">MAX(SUM(INDIRECT("Calculator!"&amp;ADDRESS(MATCH($I$13,Calculator!$W$1:$W$98,0),COLUMN(Calculator!$AJ$15))&amp;":"&amp;ADDRESS(MATCH(EDATE($I$13,O$21),Calculator!$X$1:$X$98,0),COLUMN(Calculator!$AJ$15))))*IF($L22&gt;=$H$9,$I$9,IF($L22&gt;=$H$8,$I$8,IF($L22&gt;=$H$7,$I$7,IF($L22&gt;=$H$6,$I$6,IF($L22&gt;=$H$5,$I$5,IF($L22&gt;=$H$4,$I$4,IF($L22&gt;=$H$3,$I$3,1))))))),IF($L22&gt;=$H$9,$J$9,IF($L22&gt;=$H$8,$J$8,IF($L22&gt;=$H$7,$J$7,IF($L22&gt;=$H$6,$J$6,IF($L22&gt;=$H$5,$J$5,IF($L22&gt;=$H$4,$J$4,IF($L22&gt;=$H$3,$J$3,1))))))))</f>
        <v>11740.653070388958</v>
      </c>
      <c r="P22" s="17">
        <f ca="1">MAX(SUM(INDIRECT("Calculator!"&amp;ADDRESS(MATCH($I$13,Calculator!$W$1:$W$98,0),COLUMN(Calculator!$AJ$15))&amp;":"&amp;ADDRESS(MATCH(EDATE($I$13,P$21),Calculator!$X$1:$X$98,0),COLUMN(Calculator!$AJ$15))))*IF($L22&gt;=$H$9,$I$9,IF($L22&gt;=$H$8,$I$8,IF($L22&gt;=$H$7,$I$7,IF($L22&gt;=$H$6,$I$6,IF($L22&gt;=$H$5,$I$5,IF($L22&gt;=$H$4,$I$4,IF($L22&gt;=$H$3,$I$3,1))))))),IF($L22&gt;=$H$9,$J$9,IF($L22&gt;=$H$8,$J$8,IF($L22&gt;=$H$7,$J$7,IF($L22&gt;=$H$6,$J$6,IF($L22&gt;=$H$5,$J$5,IF($L22&gt;=$H$4,$J$4,IF($L22&gt;=$H$3,$J$3,1))))))))</f>
        <v>17721.139044338081</v>
      </c>
      <c r="Q22" s="1"/>
      <c r="R22" s="16">
        <f>'Cap Pricer'!$G$19</f>
        <v>0.03</v>
      </c>
      <c r="S22" s="38">
        <f t="shared" ref="S22:V25" ca="1" si="0">IF(AND(notional&gt;50000000,M22&gt;($J$10*notional)),$J$10*notional,M22)</f>
        <v>10000</v>
      </c>
      <c r="T22" s="38">
        <f t="shared" ca="1" si="0"/>
        <v>10000</v>
      </c>
      <c r="U22" s="38">
        <f t="shared" ca="1" si="0"/>
        <v>11740.653070388958</v>
      </c>
      <c r="V22" s="38">
        <f t="shared" ca="1" si="0"/>
        <v>17721.139044338081</v>
      </c>
    </row>
    <row r="23" spans="8:23">
      <c r="H23" s="1"/>
      <c r="I23" s="24"/>
      <c r="J23" s="8"/>
      <c r="K23" s="1"/>
      <c r="L23" s="12">
        <f>'Cap Pricer'!$G$20</f>
        <v>0.04</v>
      </c>
      <c r="M23" s="15">
        <f ca="1">MAX(SUM(INDIRECT("Calculator!"&amp;ADDRESS(MATCH($I$13,Calculator!$W$1:$W$98,0),COLUMN(Calculator!$BC$15))&amp;":"&amp;ADDRESS(MATCH(EDATE($I$13,M$21),Calculator!$X$1:$X$98,0),COLUMN(Calculator!$BC$15))))*IF($L23&gt;=$H$9,$I$9,IF($L23&gt;=$H$8,$I$8,IF($L23&gt;=$H$7,$I$7,IF($L23&gt;=$H$6,$I$6,IF($L23&gt;=$H$5,$I$5,IF($L23&gt;=$H$4,$I$4,IF($L23&gt;=$H$3,$I$3,1))))))),IF($L23&gt;=$H$9,$J$9,IF($L23&gt;=$H$8,$J$8,IF($L23&gt;=$H$7,$J$7,IF($L23&gt;=$H$6,$J$6,IF($L23&gt;=$H$5,$J$5,IF($L23&gt;=$H$4,$J$4,IF($L23&gt;=$H$3,$J$3,1))))))))</f>
        <v>10000</v>
      </c>
      <c r="N23" s="15">
        <f ca="1">MAX(SUM(INDIRECT("Calculator!"&amp;ADDRESS(MATCH($I$13,Calculator!$W$1:$W$98,0),COLUMN(Calculator!$BC$15))&amp;":"&amp;ADDRESS(MATCH(EDATE($I$13,N$21),Calculator!$X$1:$X$98,0),COLUMN(Calculator!$BC$15))))*IF($L23&gt;=$H$9,$I$9,IF($L23&gt;=$H$8,$I$8,IF($L23&gt;=$H$7,$I$7,IF($L23&gt;=$H$6,$I$6,IF($L23&gt;=$H$5,$I$5,IF($L23&gt;=$H$4,$I$4,IF($L23&gt;=$H$3,$I$3,1))))))),IF($L23&gt;=$H$9,$J$9,IF($L23&gt;=$H$8,$J$8,IF($L23&gt;=$H$7,$J$7,IF($L23&gt;=$H$6,$J$6,IF($L23&gt;=$H$5,$J$5,IF($L23&gt;=$H$4,$J$4,IF($L23&gt;=$H$3,$J$3,1))))))))</f>
        <v>10000</v>
      </c>
      <c r="O23" s="15">
        <f ca="1">MAX(SUM(INDIRECT("Calculator!"&amp;ADDRESS(MATCH($I$13,Calculator!$W$1:$W$98,0),COLUMN(Calculator!$BC$15))&amp;":"&amp;ADDRESS(MATCH(EDATE($I$13,O$21),Calculator!$X$1:$X$98,0),COLUMN(Calculator!$BC$15))))*IF($L23&gt;=$H$9,$I$9,IF($L23&gt;=$H$8,$I$8,IF($L23&gt;=$H$7,$I$7,IF($L23&gt;=$H$6,$I$6,IF($L23&gt;=$H$5,$I$5,IF($L23&gt;=$H$4,$I$4,IF($L23&gt;=$H$3,$I$3,1))))))),IF($L23&gt;=$H$9,$J$9,IF($L23&gt;=$H$8,$J$8,IF($L23&gt;=$H$7,$J$7,IF($L23&gt;=$H$6,$J$6,IF($L23&gt;=$H$5,$J$5,IF($L23&gt;=$H$4,$J$4,IF($L23&gt;=$H$3,$J$3,1))))))))</f>
        <v>10000</v>
      </c>
      <c r="P23" s="15">
        <f ca="1">MAX(SUM(INDIRECT("Calculator!"&amp;ADDRESS(MATCH($I$13,Calculator!$W$1:$W$98,0),COLUMN(Calculator!$BC$15))&amp;":"&amp;ADDRESS(MATCH(EDATE($I$13,P$21),Calculator!$X$1:$X$98,0),COLUMN(Calculator!$BC$15))))*IF($L23&gt;=$H$9,$I$9,IF($L23&gt;=$H$8,$I$8,IF($L23&gt;=$H$7,$I$7,IF($L23&gt;=$H$6,$I$6,IF($L23&gt;=$H$5,$I$5,IF($L23&gt;=$H$4,$I$4,IF($L23&gt;=$H$3,$I$3,1))))))),IF($L23&gt;=$H$9,$J$9,IF($L23&gt;=$H$8,$J$8,IF($L23&gt;=$H$7,$J$7,IF($L23&gt;=$H$6,$J$6,IF($L23&gt;=$H$5,$J$5,IF($L23&gt;=$H$4,$J$4,IF($L23&gt;=$H$3,$J$3,1))))))))</f>
        <v>10000</v>
      </c>
      <c r="Q23" s="1"/>
      <c r="R23" s="12">
        <f>'Cap Pricer'!$G$20</f>
        <v>0.04</v>
      </c>
      <c r="S23" s="38">
        <f t="shared" ca="1" si="0"/>
        <v>10000</v>
      </c>
      <c r="T23" s="38">
        <f t="shared" ca="1" si="0"/>
        <v>10000</v>
      </c>
      <c r="U23" s="38">
        <f t="shared" ca="1" si="0"/>
        <v>10000</v>
      </c>
      <c r="V23" s="38">
        <f t="shared" ca="1" si="0"/>
        <v>10000</v>
      </c>
    </row>
    <row r="24" spans="8:23">
      <c r="H24" s="1"/>
      <c r="I24" s="24"/>
      <c r="J24" s="8"/>
      <c r="K24" s="1"/>
      <c r="L24" s="12">
        <f>'Cap Pricer'!$G$21</f>
        <v>0.05</v>
      </c>
      <c r="M24" s="15">
        <f ca="1">MAX(SUM(INDIRECT("Calculator!"&amp;ADDRESS(MATCH($I$13,Calculator!$W$1:$W$98,0),COLUMN(Calculator!$BV$15))&amp;":"&amp;ADDRESS(MATCH(EDATE($I$13,M$21),Calculator!$X$1:$X$98,0),COLUMN(Calculator!$BV$15))))*IF($L24&gt;=$H$9,$I$9,IF($L24&gt;=$H$8,$I$8,IF($L24&gt;=$H$7,$I$7,IF($L24&gt;=$H$6,$I$6,IF($L24&gt;=$H$5,$I$5,IF($L24&gt;=$H$4,$I$4,IF($L24&gt;=$H$3,$I$3,1))))))),IF($L24&gt;=$H$9,$J$9,IF($L24&gt;=$H$8,$J$8,IF($L24&gt;=$H$7,$J$7,IF($L24&gt;=$H$6,$J$6,IF($L24&gt;=$H$5,$J$5,IF($L24&gt;=$H$4,$J$4,IF($L24&gt;=$H$3,$J$3,1))))))))</f>
        <v>15000</v>
      </c>
      <c r="N24" s="15">
        <f ca="1">MAX(SUM(INDIRECT("Calculator!"&amp;ADDRESS(MATCH($I$13,Calculator!$W$1:$W$98,0),COLUMN(Calculator!$BV$15))&amp;":"&amp;ADDRESS(MATCH(EDATE($I$13,N$21),Calculator!$X$1:$X$98,0),COLUMN(Calculator!$BV$15))))*IF($L24&gt;=$H$9,$I$9,IF($L24&gt;=$H$8,$I$8,IF($L24&gt;=$H$7,$I$7,IF($L24&gt;=$H$6,$I$6,IF($L24&gt;=$H$5,$I$5,IF($L24&gt;=$H$4,$I$4,IF($L24&gt;=$H$3,$I$3,1))))))),IF($L24&gt;=$H$9,$J$9,IF($L24&gt;=$H$8,$J$8,IF($L24&gt;=$H$7,$J$7,IF($L24&gt;=$H$6,$J$6,IF($L24&gt;=$H$5,$J$5,IF($L24&gt;=$H$4,$J$4,IF($L24&gt;=$H$3,$J$3,1))))))))</f>
        <v>15000</v>
      </c>
      <c r="O24" s="15">
        <f ca="1">MAX(SUM(INDIRECT("Calculator!"&amp;ADDRESS(MATCH($I$13,Calculator!$W$1:$W$98,0),COLUMN(Calculator!$BV$15))&amp;":"&amp;ADDRESS(MATCH(EDATE($I$13,O$21),Calculator!$X$1:$X$98,0),COLUMN(Calculator!$BV$15))))*IF($L24&gt;=$H$9,$I$9,IF($L24&gt;=$H$8,$I$8,IF($L24&gt;=$H$7,$I$7,IF($L24&gt;=$H$6,$I$6,IF($L24&gt;=$H$5,$I$5,IF($L24&gt;=$H$4,$I$4,IF($L24&gt;=$H$3,$I$3,1))))))),IF($L24&gt;=$H$9,$J$9,IF($L24&gt;=$H$8,$J$8,IF($L24&gt;=$H$7,$J$7,IF($L24&gt;=$H$6,$J$6,IF($L24&gt;=$H$5,$J$5,IF($L24&gt;=$H$4,$J$4,IF($L24&gt;=$H$3,$J$3,1))))))))</f>
        <v>20270.741786715182</v>
      </c>
      <c r="P24" s="15">
        <f ca="1">MAX(SUM(INDIRECT("Calculator!"&amp;ADDRESS(MATCH($I$13,Calculator!$W$1:$W$98,0),COLUMN(Calculator!$BV$15))&amp;":"&amp;ADDRESS(MATCH(EDATE($I$13,P$21),Calculator!$X$1:$X$98,0),COLUMN(Calculator!$BV$15))))*IF($L24&gt;=$H$9,$I$9,IF($L24&gt;=$H$8,$I$8,IF($L24&gt;=$H$7,$I$7,IF($L24&gt;=$H$6,$I$6,IF($L24&gt;=$H$5,$I$5,IF($L24&gt;=$H$4,$I$4,IF($L24&gt;=$H$3,$I$3,1))))))),IF($L24&gt;=$H$9,$J$9,IF($L24&gt;=$H$8,$J$8,IF($L24&gt;=$H$7,$J$7,IF($L24&gt;=$H$6,$J$6,IF($L24&gt;=$H$5,$J$5,IF($L24&gt;=$H$4,$J$4,IF($L24&gt;=$H$3,$J$3,1))))))))</f>
        <v>29600.815599625617</v>
      </c>
      <c r="Q24" s="1"/>
      <c r="R24" s="12">
        <f>'Cap Pricer'!$G$21</f>
        <v>0.05</v>
      </c>
      <c r="S24" s="38">
        <f t="shared" ca="1" si="0"/>
        <v>15000</v>
      </c>
      <c r="T24" s="38">
        <f t="shared" ca="1" si="0"/>
        <v>15000</v>
      </c>
      <c r="U24" s="38">
        <f t="shared" ca="1" si="0"/>
        <v>20270.741786715182</v>
      </c>
      <c r="V24" s="38">
        <f t="shared" ca="1" si="0"/>
        <v>29600.815599625617</v>
      </c>
    </row>
    <row r="25" spans="8:23">
      <c r="H25" s="1"/>
      <c r="I25" s="24"/>
      <c r="J25" s="8"/>
      <c r="K25" s="1"/>
      <c r="L25" s="12">
        <f>'Cap Pricer'!$G$22</f>
        <v>0.06</v>
      </c>
      <c r="M25" s="15">
        <f ca="1">MAX(SUM(INDIRECT("Calculator!"&amp;ADDRESS(MATCH($I$13,Calculator!$W$1:$W$98,0),COLUMN(Calculator!$CO$15))&amp;":"&amp;ADDRESS(MATCH(EDATE($I$13,M$21),Calculator!$X$1:$X$98,0),COLUMN(Calculator!$CO$15))))*IF($L25&gt;=$H$9,$I$9,IF($L25&gt;=$H$8,$I$8,IF($L25&gt;=$H$7,$I$7,IF($L25&gt;=$H$6,$I$6,IF($L25&gt;=$H$5,$I$5,IF($L25&gt;=$H$4,$I$4,IF($L25&gt;=$H$3,$I$3,1))))))),IF($L25&gt;=$H$9,$J$9,IF($L25&gt;=$H$8,$J$8,IF($L25&gt;=$H$7,$J$7,IF($L25&gt;=$H$6,$J$6,IF($L25&gt;=$H$5,$J$5,IF($L25&gt;=$H$4,$J$4,IF($L25&gt;=$H$3,$J$3,1))))))))</f>
        <v>15000</v>
      </c>
      <c r="N25" s="15">
        <f ca="1">MAX(SUM(INDIRECT("Calculator!"&amp;ADDRESS(MATCH($I$13,Calculator!$W$1:$W$98,0),COLUMN(Calculator!$CO$15))&amp;":"&amp;ADDRESS(MATCH(EDATE($I$13,N$21),Calculator!$X$1:$X$98,0),COLUMN(Calculator!$CO$15))))*IF($L25&gt;=$H$9,$I$9,IF($L25&gt;=$H$8,$I$8,IF($L25&gt;=$H$7,$I$7,IF($L25&gt;=$H$6,$I$6,IF($L25&gt;=$H$5,$I$5,IF($L25&gt;=$H$4,$I$4,IF($L25&gt;=$H$3,$I$3,1))))))),IF($L25&gt;=$H$9,$J$9,IF($L25&gt;=$H$8,$J$8,IF($L25&gt;=$H$7,$J$7,IF($L25&gt;=$H$6,$J$6,IF($L25&gt;=$H$5,$J$5,IF($L25&gt;=$H$4,$J$4,IF($L25&gt;=$H$3,$J$3,1))))))))</f>
        <v>15000</v>
      </c>
      <c r="O25" s="15">
        <f ca="1">MAX(SUM(INDIRECT("Calculator!"&amp;ADDRESS(MATCH($I$13,Calculator!$W$1:$W$98,0),COLUMN(Calculator!$CO$15))&amp;":"&amp;ADDRESS(MATCH(EDATE($I$13,O$21),Calculator!$X$1:$X$98,0),COLUMN(Calculator!$CO$15))))*IF($L25&gt;=$H$9,$I$9,IF($L25&gt;=$H$8,$I$8,IF($L25&gt;=$H$7,$I$7,IF($L25&gt;=$H$6,$I$6,IF($L25&gt;=$H$5,$I$5,IF($L25&gt;=$H$4,$I$4,IF($L25&gt;=$H$3,$I$3,1))))))),IF($L25&gt;=$H$9,$J$9,IF($L25&gt;=$H$8,$J$8,IF($L25&gt;=$H$7,$J$7,IF($L25&gt;=$H$6,$J$6,IF($L25&gt;=$H$5,$J$5,IF($L25&gt;=$H$4,$J$4,IF($L25&gt;=$H$3,$J$3,1))))))))</f>
        <v>15000</v>
      </c>
      <c r="P25" s="15">
        <f ca="1">MAX(SUM(INDIRECT("Calculator!"&amp;ADDRESS(MATCH($I$13,Calculator!$W$1:$W$98,0),COLUMN(Calculator!$CO$15))&amp;":"&amp;ADDRESS(MATCH(EDATE($I$13,P$21),Calculator!$X$1:$X$98,0),COLUMN(Calculator!$CO$15))))*IF($L25&gt;=$H$9,$I$9,IF($L25&gt;=$H$8,$I$8,IF($L25&gt;=$H$7,$I$7,IF($L25&gt;=$H$6,$I$6,IF($L25&gt;=$H$5,$I$5,IF($L25&gt;=$H$4,$I$4,IF($L25&gt;=$H$3,$I$3,1))))))),IF($L25&gt;=$H$9,$J$9,IF($L25&gt;=$H$8,$J$8,IF($L25&gt;=$H$7,$J$7,IF($L25&gt;=$H$6,$J$6,IF($L25&gt;=$H$5,$J$5,IF($L25&gt;=$H$4,$J$4,IF($L25&gt;=$H$3,$J$3,1))))))))</f>
        <v>22117.237526766949</v>
      </c>
      <c r="Q25" s="1"/>
      <c r="R25" s="12">
        <f>'Cap Pricer'!$G$22</f>
        <v>0.06</v>
      </c>
      <c r="S25" s="38">
        <f t="shared" ca="1" si="0"/>
        <v>15000</v>
      </c>
      <c r="T25" s="38">
        <f t="shared" ca="1" si="0"/>
        <v>15000</v>
      </c>
      <c r="U25" s="38">
        <f t="shared" ca="1" si="0"/>
        <v>15000</v>
      </c>
      <c r="V25" s="38">
        <f t="shared" ca="1" si="0"/>
        <v>22117.237526766949</v>
      </c>
    </row>
    <row r="26" spans="8:23">
      <c r="H26" s="1"/>
      <c r="I26" s="24"/>
      <c r="J26" s="8"/>
      <c r="K26" s="1"/>
      <c r="L26" s="1"/>
      <c r="M26" s="1"/>
      <c r="N26" s="1"/>
      <c r="O26" s="1"/>
      <c r="P26" s="1"/>
      <c r="Q26" s="1"/>
      <c r="R26" s="23"/>
    </row>
    <row r="27" spans="8:23">
      <c r="H27" s="1"/>
      <c r="I27" s="24"/>
      <c r="J27" s="8"/>
      <c r="K27" s="1"/>
      <c r="L27"/>
      <c r="M27"/>
      <c r="N27"/>
      <c r="O27"/>
      <c r="P27"/>
      <c r="Q27"/>
      <c r="R27"/>
      <c r="S27"/>
      <c r="T27"/>
      <c r="U27"/>
      <c r="V27"/>
      <c r="W27"/>
    </row>
    <row r="28" spans="8:23">
      <c r="H28" s="1"/>
      <c r="I28" s="24"/>
      <c r="J28" s="8"/>
      <c r="K28" s="1"/>
      <c r="L28"/>
      <c r="M28"/>
      <c r="N28"/>
      <c r="O28"/>
      <c r="P28"/>
      <c r="Q28"/>
      <c r="R28"/>
      <c r="S28"/>
      <c r="T28"/>
      <c r="U28"/>
      <c r="V28"/>
      <c r="W28"/>
    </row>
    <row r="29" spans="8:23">
      <c r="H29" s="1"/>
      <c r="I29" s="24"/>
      <c r="J29" s="8"/>
      <c r="K29" s="1"/>
      <c r="L29"/>
      <c r="M29"/>
      <c r="N29"/>
      <c r="O29"/>
      <c r="P29"/>
      <c r="Q29"/>
      <c r="R29"/>
      <c r="S29"/>
      <c r="T29"/>
      <c r="U29"/>
      <c r="V29"/>
      <c r="W29"/>
    </row>
    <row r="30" spans="8:23">
      <c r="H30" s="1"/>
      <c r="I30" s="1"/>
      <c r="J30" s="1"/>
      <c r="K30" s="1"/>
      <c r="L30"/>
      <c r="M30"/>
      <c r="N30"/>
      <c r="O30"/>
      <c r="P30"/>
      <c r="Q30"/>
      <c r="R30"/>
      <c r="S30"/>
      <c r="T30"/>
      <c r="U30"/>
      <c r="V30"/>
      <c r="W30"/>
    </row>
    <row r="31" spans="8:23">
      <c r="H31" s="1"/>
      <c r="I31" s="1"/>
      <c r="J31" s="1"/>
      <c r="K31" s="1"/>
      <c r="L31"/>
      <c r="M31"/>
      <c r="N31"/>
      <c r="O31"/>
      <c r="P31"/>
      <c r="Q31"/>
      <c r="R31"/>
      <c r="S31"/>
      <c r="T31"/>
      <c r="U31"/>
      <c r="V31"/>
      <c r="W31"/>
    </row>
    <row r="32" spans="8:23">
      <c r="H32" s="1"/>
      <c r="I32" s="1"/>
      <c r="J32" s="1"/>
      <c r="K32" s="1"/>
      <c r="L32"/>
      <c r="M32"/>
      <c r="N32"/>
      <c r="O32"/>
      <c r="P32"/>
      <c r="Q32"/>
      <c r="R32"/>
      <c r="S32"/>
      <c r="T32"/>
      <c r="U32"/>
      <c r="V32"/>
      <c r="W32"/>
    </row>
    <row r="33" spans="8:17">
      <c r="H33" s="1"/>
      <c r="I33" s="1"/>
      <c r="J33" s="1"/>
      <c r="K33" s="1"/>
      <c r="L33" s="1"/>
      <c r="M33" s="1"/>
      <c r="N33" s="1"/>
      <c r="O33" s="1"/>
      <c r="P33" s="1"/>
      <c r="Q33" s="1"/>
    </row>
    <row r="34" spans="8:17">
      <c r="H34" s="1"/>
      <c r="I34" s="1"/>
      <c r="J34" s="1"/>
      <c r="K34" s="1"/>
      <c r="Q34" s="1"/>
    </row>
    <row r="35" spans="8:17">
      <c r="H35" s="1"/>
      <c r="I35" s="1"/>
      <c r="J35" s="1"/>
      <c r="K35" s="1"/>
      <c r="Q35" s="1"/>
    </row>
    <row r="36" spans="8:17">
      <c r="H36" s="1"/>
      <c r="I36" s="1"/>
      <c r="J36" s="1"/>
      <c r="K36" s="1"/>
      <c r="Q36" s="1"/>
    </row>
    <row r="37" spans="8:17">
      <c r="H37" s="1"/>
      <c r="I37" s="1"/>
      <c r="J37" s="1"/>
      <c r="K37" s="1"/>
      <c r="Q37" s="1"/>
    </row>
    <row r="38" spans="8:17">
      <c r="H38" s="1"/>
      <c r="I38" s="1"/>
      <c r="J38" s="1"/>
      <c r="K38" s="1"/>
      <c r="Q38" s="1"/>
    </row>
    <row r="39" spans="8:17">
      <c r="H39" s="1"/>
      <c r="I39" s="1"/>
      <c r="J39" s="1"/>
      <c r="K39" s="1"/>
      <c r="Q39" s="1"/>
    </row>
    <row r="40" spans="8:17">
      <c r="H40" s="1"/>
      <c r="I40" s="1"/>
      <c r="J40" s="1"/>
      <c r="K40" s="1"/>
    </row>
    <row r="41" spans="8:17">
      <c r="H41" s="1"/>
      <c r="I41" s="1"/>
      <c r="J41" s="1"/>
      <c r="K41" s="1"/>
    </row>
    <row r="42" spans="8:17">
      <c r="H42" s="1"/>
      <c r="I42" s="1"/>
      <c r="J42" s="1"/>
      <c r="K42" s="1"/>
    </row>
    <row r="43" spans="8:17">
      <c r="H43" s="1"/>
      <c r="I43" s="1"/>
      <c r="J43" s="1"/>
      <c r="K43" s="1"/>
    </row>
    <row r="44" spans="8:17">
      <c r="H44" s="1"/>
      <c r="I44" s="1"/>
      <c r="J44" s="1"/>
      <c r="K44" s="1"/>
    </row>
    <row r="45" spans="8:17">
      <c r="H45" s="1"/>
      <c r="I45" s="1"/>
      <c r="J45" s="1"/>
      <c r="K45" s="1"/>
    </row>
    <row r="46" spans="8:17">
      <c r="H46" s="1"/>
      <c r="I46" s="1"/>
      <c r="J46" s="1"/>
      <c r="K46" s="1"/>
    </row>
    <row r="47" spans="8:17">
      <c r="H47" s="1"/>
      <c r="I47" s="1"/>
      <c r="J47" s="1"/>
      <c r="K47" s="1"/>
    </row>
    <row r="48" spans="8:17">
      <c r="H48" s="1"/>
      <c r="I48" s="1"/>
      <c r="J48" s="1"/>
      <c r="K48" s="1"/>
    </row>
    <row r="49" spans="8:11">
      <c r="H49" s="1"/>
      <c r="I49" s="1"/>
      <c r="J49" s="1"/>
      <c r="K49" s="1"/>
    </row>
    <row r="50" spans="8:11">
      <c r="H50" s="1"/>
      <c r="I50" s="1"/>
      <c r="J50" s="1"/>
      <c r="K50" s="1"/>
    </row>
  </sheetData>
  <sheetProtection algorithmName="SHA-512" hashValue="VTdNf2kM0p4uwhxDFlPXfiRT41JaensymWcbO7LsnSV3l4+7CAlRlSRf+fx/sW04KUr9ss7n0eo2DwMh30z35w==" saltValue="MVQkNdUV6ErIk4w4SDjIe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37"/>
  <sheetViews>
    <sheetView showGridLines="0" zoomScale="107" zoomScaleNormal="90" workbookViewId="0">
      <selection activeCell="K14" sqref="K14"/>
    </sheetView>
  </sheetViews>
  <sheetFormatPr defaultColWidth="9.140625" defaultRowHeight="15"/>
  <cols>
    <col min="1" max="1" width="12.28515625" style="30" bestFit="1" customWidth="1"/>
    <col min="2" max="2" width="9.28515625" style="30" bestFit="1" customWidth="1"/>
    <col min="3" max="3" width="9.140625" style="30"/>
    <col min="4" max="4" width="8.5703125" style="35" customWidth="1"/>
    <col min="5" max="5" width="11.7109375" style="30" bestFit="1" customWidth="1"/>
    <col min="6" max="10" width="11.7109375" style="30" customWidth="1"/>
    <col min="11" max="11" width="11.5703125" style="37" customWidth="1"/>
    <col min="12" max="12" width="16.7109375" style="30" bestFit="1" customWidth="1"/>
    <col min="13" max="14" width="15.28515625" style="30" customWidth="1"/>
    <col min="15" max="15" width="11.7109375" style="30" customWidth="1"/>
    <col min="16" max="16" width="14.28515625" style="30" bestFit="1" customWidth="1"/>
    <col min="17" max="18" width="9.140625" style="30"/>
    <col min="19" max="19" width="11.28515625" style="30" bestFit="1" customWidth="1"/>
    <col min="20" max="20" width="12.42578125" style="30" customWidth="1"/>
    <col min="21" max="16384" width="9.140625" style="30"/>
  </cols>
  <sheetData>
    <row r="1" spans="1:20">
      <c r="A1" s="28" t="s">
        <v>78</v>
      </c>
      <c r="B1" s="29" t="s">
        <v>11</v>
      </c>
      <c r="D1" s="31" t="s">
        <v>24</v>
      </c>
      <c r="F1" s="31" t="s">
        <v>79</v>
      </c>
      <c r="G1" s="31" t="s">
        <v>80</v>
      </c>
      <c r="H1" s="31" t="s">
        <v>81</v>
      </c>
      <c r="I1" s="31" t="s">
        <v>82</v>
      </c>
      <c r="K1" s="168" t="s">
        <v>83</v>
      </c>
      <c r="L1" s="174" t="s">
        <v>114</v>
      </c>
      <c r="M1" s="32" t="s">
        <v>64</v>
      </c>
      <c r="N1" s="32" t="s">
        <v>65</v>
      </c>
      <c r="P1" s="31" t="s">
        <v>84</v>
      </c>
      <c r="S1" s="175" t="s">
        <v>43</v>
      </c>
      <c r="T1" s="175" t="s">
        <v>116</v>
      </c>
    </row>
    <row r="2" spans="1:20">
      <c r="A2" s="33">
        <f>Volatilities_Resets!C4</f>
        <v>45008</v>
      </c>
      <c r="B2" s="130">
        <f>Volatilities_Resets!AC4/100</f>
        <v>2.1930999999999998</v>
      </c>
      <c r="C2" s="36"/>
      <c r="D2" s="130">
        <f>Volatilities_Resets!E4/100</f>
        <v>4.7923600000000004E-2</v>
      </c>
      <c r="E2" s="34"/>
      <c r="F2" s="37">
        <f>$D2*(1-(SQRT(YEARFRAC($A$2,$A2,2))*(2*$B2)))</f>
        <v>4.7923600000000004E-2</v>
      </c>
      <c r="G2" s="37">
        <f>$D2*(1-(SQRT(YEARFRAC($A$2,$A2,2))*(1*$B2)))</f>
        <v>4.7923600000000004E-2</v>
      </c>
      <c r="H2" s="37">
        <f>$D2*(1+(SQRT(YEARFRAC($A$2,$A2,2))*(1*$B2)))</f>
        <v>4.7923600000000004E-2</v>
      </c>
      <c r="I2" s="37">
        <f>$D2*(1+(SQRT(YEARFRAC($A$2,$A2,2))*(2*$B2)))</f>
        <v>4.7923600000000004E-2</v>
      </c>
      <c r="K2" s="37">
        <f t="shared" ref="K2:K33" si="0">VLOOKUP(A2,$S$2:$T$134,2,FALSE)</f>
        <v>3.2500000000000001E-2</v>
      </c>
      <c r="L2" s="34">
        <v>0.06</v>
      </c>
      <c r="M2" s="27">
        <f>D2+0.25%</f>
        <v>5.0423600000000006E-2</v>
      </c>
      <c r="N2" s="37">
        <f>D2+0.5%</f>
        <v>5.2923600000000001E-2</v>
      </c>
      <c r="P2" s="37">
        <f>IF('Cap Pricer'!$G$27=DataValidation!$B$2,'Vols - Forward Curve'!I2,IF('Cap Pricer'!$G$27=DataValidation!$B$3,'Vols - Forward Curve'!H2,IF('Cap Pricer'!$G$27=DataValidation!$B$4,'Vols - Forward Curve'!D2,IF('Cap Pricer'!$G$27=DataValidation!$B$5,'Vols - Forward Curve'!G2,IF('Cap Pricer'!$G$27=DataValidation!$B$6,'Vols - Forward Curve'!F2,IF('Cap Pricer'!$G$27=DataValidation!$B$8,'Vols - Forward Curve'!K2,IF('Cap Pricer'!$G$27=DataValidation!$B$9,'Vols - Forward Curve'!L2,IF('Cap Pricer'!$G$27=DataValidation!$B$10,'Vols - Forward Curve'!M2,IF('Cap Pricer'!$G$27=DataValidation!$B$11,'Vols - Forward Curve'!N2,"")))))))))</f>
        <v>4.7923600000000004E-2</v>
      </c>
      <c r="S2" s="176">
        <f>Volatilities_Resets!C4</f>
        <v>45008</v>
      </c>
      <c r="T2" s="172">
        <v>3.2500000000000001E-2</v>
      </c>
    </row>
    <row r="3" spans="1:20">
      <c r="A3" s="33">
        <f>Volatilities_Resets!C5</f>
        <v>45039</v>
      </c>
      <c r="B3" s="130">
        <f>Volatilities_Resets!AC5/100</f>
        <v>2.2037999999999998</v>
      </c>
      <c r="C3" s="37"/>
      <c r="D3" s="130">
        <f>Volatilities_Resets!E5/100</f>
        <v>4.8988300000000005E-2</v>
      </c>
      <c r="E3" s="34"/>
      <c r="F3" s="37">
        <f t="shared" ref="F3:F66" si="1">$D3*(1-(SQRT(YEARFRAC($A$2,$A3,2))*(2*$B3)))</f>
        <v>-1.437300882404618E-2</v>
      </c>
      <c r="G3" s="37">
        <f t="shared" ref="G3:G66" si="2">$D3*(1-(SQRT(YEARFRAC($A$2,$A3,2))*(1*$B3)))</f>
        <v>1.7307645587976914E-2</v>
      </c>
      <c r="H3" s="37">
        <f t="shared" ref="H3:H66" si="3">$D3*(1+(SQRT(YEARFRAC($A$2,$A3,2))*(1*$B3)))</f>
        <v>8.0668954412023097E-2</v>
      </c>
      <c r="I3" s="37">
        <f t="shared" ref="I3:I66" si="4">$D3*(1+(SQRT(YEARFRAC($A$2,$A3,2))*(2*$B3)))</f>
        <v>0.1123496088240462</v>
      </c>
      <c r="K3" s="37">
        <f t="shared" si="0"/>
        <v>3.6249999999999998E-2</v>
      </c>
      <c r="L3" s="34">
        <v>0.06</v>
      </c>
      <c r="M3" s="27">
        <f t="shared" ref="M3:M66" si="5">D3+0.25%</f>
        <v>5.1488300000000008E-2</v>
      </c>
      <c r="N3" s="37">
        <f t="shared" ref="N3:N66" si="6">D3+0.5%</f>
        <v>5.3988300000000003E-2</v>
      </c>
      <c r="P3" s="37">
        <f>IF('Cap Pricer'!$G$27=DataValidation!$B$2,'Vols - Forward Curve'!I3,IF('Cap Pricer'!$G$27=DataValidation!$B$3,'Vols - Forward Curve'!H3,IF('Cap Pricer'!$G$27=DataValidation!$B$4,'Vols - Forward Curve'!D3,IF('Cap Pricer'!$G$27=DataValidation!$B$5,'Vols - Forward Curve'!G3,IF('Cap Pricer'!$G$27=DataValidation!$B$6,'Vols - Forward Curve'!F3,IF('Cap Pricer'!$G$27=DataValidation!$B$8,'Vols - Forward Curve'!K3,IF('Cap Pricer'!$G$27=DataValidation!$B$9,'Vols - Forward Curve'!L3,IF('Cap Pricer'!$G$27=DataValidation!$B$10,'Vols - Forward Curve'!M3,IF('Cap Pricer'!$G$27=DataValidation!$B$11,'Vols - Forward Curve'!N3,"")))))))))</f>
        <v>4.8988300000000005E-2</v>
      </c>
      <c r="S3" s="177">
        <f>EDATE(S2,1)</f>
        <v>45039</v>
      </c>
      <c r="T3" s="172">
        <v>3.6249999999999998E-2</v>
      </c>
    </row>
    <row r="4" spans="1:20">
      <c r="A4" s="33">
        <f>Volatilities_Resets!C6</f>
        <v>45069</v>
      </c>
      <c r="B4" s="130">
        <f>Volatilities_Resets!AC6/100</f>
        <v>2.1985000000000001</v>
      </c>
      <c r="C4" s="37"/>
      <c r="D4" s="130">
        <f>Volatilities_Resets!E6/100</f>
        <v>4.8788600000000001E-2</v>
      </c>
      <c r="E4" s="34"/>
      <c r="F4" s="37">
        <f t="shared" si="1"/>
        <v>-3.9517049434744579E-2</v>
      </c>
      <c r="G4" s="37">
        <f t="shared" si="2"/>
        <v>4.6357752826277103E-3</v>
      </c>
      <c r="H4" s="37">
        <f t="shared" si="3"/>
        <v>9.2941424717372281E-2</v>
      </c>
      <c r="I4" s="37">
        <f t="shared" si="4"/>
        <v>0.13709424943474458</v>
      </c>
      <c r="K4" s="37">
        <f t="shared" si="0"/>
        <v>3.9999999999999994E-2</v>
      </c>
      <c r="L4" s="34">
        <v>0.06</v>
      </c>
      <c r="M4" s="27">
        <f t="shared" si="5"/>
        <v>5.1288600000000004E-2</v>
      </c>
      <c r="N4" s="37">
        <f t="shared" si="6"/>
        <v>5.3788599999999999E-2</v>
      </c>
      <c r="P4" s="37">
        <f>IF('Cap Pricer'!$G$27=DataValidation!$B$2,'Vols - Forward Curve'!I4,IF('Cap Pricer'!$G$27=DataValidation!$B$3,'Vols - Forward Curve'!H4,IF('Cap Pricer'!$G$27=DataValidation!$B$4,'Vols - Forward Curve'!D4,IF('Cap Pricer'!$G$27=DataValidation!$B$5,'Vols - Forward Curve'!G4,IF('Cap Pricer'!$G$27=DataValidation!$B$6,'Vols - Forward Curve'!F4,IF('Cap Pricer'!$G$27=DataValidation!$B$8,'Vols - Forward Curve'!K4,IF('Cap Pricer'!$G$27=DataValidation!$B$9,'Vols - Forward Curve'!L4,IF('Cap Pricer'!$G$27=DataValidation!$B$10,'Vols - Forward Curve'!M4,IF('Cap Pricer'!$G$27=DataValidation!$B$11,'Vols - Forward Curve'!N4,"")))))))))</f>
        <v>4.8788600000000001E-2</v>
      </c>
      <c r="S4" s="177">
        <f t="shared" ref="S4:S67" si="7">EDATE(S3,1)</f>
        <v>45069</v>
      </c>
      <c r="T4" s="172">
        <v>3.9999999999999994E-2</v>
      </c>
    </row>
    <row r="5" spans="1:20">
      <c r="A5" s="33">
        <f>Volatilities_Resets!C7</f>
        <v>45100</v>
      </c>
      <c r="B5" s="130">
        <f>Volatilities_Resets!AC7/100</f>
        <v>2.173</v>
      </c>
      <c r="C5" s="37"/>
      <c r="D5" s="130">
        <f>Volatilities_Resets!E7/100</f>
        <v>4.8112300000000004E-2</v>
      </c>
      <c r="E5" s="34"/>
      <c r="F5" s="37">
        <f t="shared" si="1"/>
        <v>-5.7590989798256859E-2</v>
      </c>
      <c r="G5" s="37">
        <f t="shared" si="2"/>
        <v>-4.7393448991284283E-3</v>
      </c>
      <c r="H5" s="37">
        <f t="shared" si="3"/>
        <v>0.10096394489912845</v>
      </c>
      <c r="I5" s="37">
        <f t="shared" si="4"/>
        <v>0.15381558979825688</v>
      </c>
      <c r="K5" s="37">
        <f t="shared" si="0"/>
        <v>4.3749999999999997E-2</v>
      </c>
      <c r="L5" s="34">
        <v>0.06</v>
      </c>
      <c r="M5" s="27">
        <f t="shared" si="5"/>
        <v>5.0612300000000006E-2</v>
      </c>
      <c r="N5" s="37">
        <f t="shared" si="6"/>
        <v>5.3112300000000001E-2</v>
      </c>
      <c r="P5" s="37">
        <f>IF('Cap Pricer'!$G$27=DataValidation!$B$2,'Vols - Forward Curve'!I5,IF('Cap Pricer'!$G$27=DataValidation!$B$3,'Vols - Forward Curve'!H5,IF('Cap Pricer'!$G$27=DataValidation!$B$4,'Vols - Forward Curve'!D5,IF('Cap Pricer'!$G$27=DataValidation!$B$5,'Vols - Forward Curve'!G5,IF('Cap Pricer'!$G$27=DataValidation!$B$6,'Vols - Forward Curve'!F5,IF('Cap Pricer'!$G$27=DataValidation!$B$8,'Vols - Forward Curve'!K5,IF('Cap Pricer'!$G$27=DataValidation!$B$9,'Vols - Forward Curve'!L5,IF('Cap Pricer'!$G$27=DataValidation!$B$10,'Vols - Forward Curve'!M5,IF('Cap Pricer'!$G$27=DataValidation!$B$11,'Vols - Forward Curve'!N5,"")))))))))</f>
        <v>4.8112300000000004E-2</v>
      </c>
      <c r="S5" s="177">
        <f t="shared" si="7"/>
        <v>45100</v>
      </c>
      <c r="T5" s="172">
        <v>4.3749999999999997E-2</v>
      </c>
    </row>
    <row r="6" spans="1:20">
      <c r="A6" s="33">
        <f>Volatilities_Resets!C8</f>
        <v>45130</v>
      </c>
      <c r="B6" s="130">
        <f>Volatilities_Resets!AC8/100</f>
        <v>2.1772999999999998</v>
      </c>
      <c r="C6" s="37"/>
      <c r="D6" s="130">
        <f>Volatilities_Resets!E8/100</f>
        <v>4.5924199999999998E-2</v>
      </c>
      <c r="E6" s="34"/>
      <c r="F6" s="37">
        <f t="shared" si="1"/>
        <v>-7.0493370768075075E-2</v>
      </c>
      <c r="G6" s="37">
        <f t="shared" si="2"/>
        <v>-1.2284585384037542E-2</v>
      </c>
      <c r="H6" s="37">
        <f t="shared" si="3"/>
        <v>0.10413298538403754</v>
      </c>
      <c r="I6" s="37">
        <f t="shared" si="4"/>
        <v>0.16234177076807507</v>
      </c>
      <c r="K6" s="37">
        <f t="shared" si="0"/>
        <v>4.3958333333333328E-2</v>
      </c>
      <c r="L6" s="34">
        <v>0.06</v>
      </c>
      <c r="M6" s="27">
        <f t="shared" si="5"/>
        <v>4.8424200000000001E-2</v>
      </c>
      <c r="N6" s="37">
        <f t="shared" si="6"/>
        <v>5.0924199999999996E-2</v>
      </c>
      <c r="P6" s="37">
        <f>IF('Cap Pricer'!$G$27=DataValidation!$B$2,'Vols - Forward Curve'!I6,IF('Cap Pricer'!$G$27=DataValidation!$B$3,'Vols - Forward Curve'!H6,IF('Cap Pricer'!$G$27=DataValidation!$B$4,'Vols - Forward Curve'!D6,IF('Cap Pricer'!$G$27=DataValidation!$B$5,'Vols - Forward Curve'!G6,IF('Cap Pricer'!$G$27=DataValidation!$B$6,'Vols - Forward Curve'!F6,IF('Cap Pricer'!$G$27=DataValidation!$B$8,'Vols - Forward Curve'!K6,IF('Cap Pricer'!$G$27=DataValidation!$B$9,'Vols - Forward Curve'!L6,IF('Cap Pricer'!$G$27=DataValidation!$B$10,'Vols - Forward Curve'!M6,IF('Cap Pricer'!$G$27=DataValidation!$B$11,'Vols - Forward Curve'!N6,"")))))))))</f>
        <v>4.5924199999999998E-2</v>
      </c>
      <c r="S6" s="177">
        <f t="shared" si="7"/>
        <v>45130</v>
      </c>
      <c r="T6" s="172">
        <v>4.3958333333333328E-2</v>
      </c>
    </row>
    <row r="7" spans="1:20">
      <c r="A7" s="33">
        <f>Volatilities_Resets!C9</f>
        <v>45161</v>
      </c>
      <c r="B7" s="130">
        <f>Volatilities_Resets!AC9/100</f>
        <v>2.1736</v>
      </c>
      <c r="C7" s="37"/>
      <c r="D7" s="130">
        <f>Volatilities_Resets!E9/100</f>
        <v>4.5594400000000007E-2</v>
      </c>
      <c r="E7" s="34"/>
      <c r="F7" s="37">
        <f t="shared" si="1"/>
        <v>-8.3621391178340429E-2</v>
      </c>
      <c r="G7" s="37">
        <f t="shared" si="2"/>
        <v>-1.9013495589170211E-2</v>
      </c>
      <c r="H7" s="37">
        <f t="shared" si="3"/>
        <v>0.11020229558917022</v>
      </c>
      <c r="I7" s="37">
        <f t="shared" si="4"/>
        <v>0.17481019117834043</v>
      </c>
      <c r="K7" s="37">
        <f t="shared" si="0"/>
        <v>4.416666666666666E-2</v>
      </c>
      <c r="L7" s="34">
        <v>0.06</v>
      </c>
      <c r="M7" s="27">
        <f t="shared" si="5"/>
        <v>4.8094400000000009E-2</v>
      </c>
      <c r="N7" s="37">
        <f t="shared" si="6"/>
        <v>5.0594400000000005E-2</v>
      </c>
      <c r="P7" s="37">
        <f>IF('Cap Pricer'!$G$27=DataValidation!$B$2,'Vols - Forward Curve'!I7,IF('Cap Pricer'!$G$27=DataValidation!$B$3,'Vols - Forward Curve'!H7,IF('Cap Pricer'!$G$27=DataValidation!$B$4,'Vols - Forward Curve'!D7,IF('Cap Pricer'!$G$27=DataValidation!$B$5,'Vols - Forward Curve'!G7,IF('Cap Pricer'!$G$27=DataValidation!$B$6,'Vols - Forward Curve'!F7,IF('Cap Pricer'!$G$27=DataValidation!$B$8,'Vols - Forward Curve'!K7,IF('Cap Pricer'!$G$27=DataValidation!$B$9,'Vols - Forward Curve'!L7,IF('Cap Pricer'!$G$27=DataValidation!$B$10,'Vols - Forward Curve'!M7,IF('Cap Pricer'!$G$27=DataValidation!$B$11,'Vols - Forward Curve'!N7,"")))))))))</f>
        <v>4.5594400000000007E-2</v>
      </c>
      <c r="S7" s="177">
        <f t="shared" si="7"/>
        <v>45161</v>
      </c>
      <c r="T7" s="172">
        <v>4.416666666666666E-2</v>
      </c>
    </row>
    <row r="8" spans="1:20">
      <c r="A8" s="33">
        <f>Volatilities_Resets!C10</f>
        <v>45192</v>
      </c>
      <c r="B8" s="130">
        <f>Volatilities_Resets!AC10/100</f>
        <v>2.1463999999999999</v>
      </c>
      <c r="C8" s="37"/>
      <c r="D8" s="130">
        <f>Volatilities_Resets!E10/100</f>
        <v>4.4545500000000002E-2</v>
      </c>
      <c r="E8" s="34"/>
      <c r="F8" s="37">
        <f t="shared" si="1"/>
        <v>-9.2165089021591998E-2</v>
      </c>
      <c r="G8" s="37">
        <f t="shared" si="2"/>
        <v>-2.3809794510795994E-2</v>
      </c>
      <c r="H8" s="37">
        <f t="shared" si="3"/>
        <v>0.11290079451079602</v>
      </c>
      <c r="I8" s="37">
        <f t="shared" si="4"/>
        <v>0.18125608902159202</v>
      </c>
      <c r="K8" s="37">
        <f t="shared" si="0"/>
        <v>4.4374999999999991E-2</v>
      </c>
      <c r="L8" s="34">
        <v>0.06</v>
      </c>
      <c r="M8" s="27">
        <f t="shared" si="5"/>
        <v>4.7045500000000004E-2</v>
      </c>
      <c r="N8" s="37">
        <f t="shared" si="6"/>
        <v>4.9545499999999999E-2</v>
      </c>
      <c r="P8" s="37">
        <f>IF('Cap Pricer'!$G$27=DataValidation!$B$2,'Vols - Forward Curve'!I8,IF('Cap Pricer'!$G$27=DataValidation!$B$3,'Vols - Forward Curve'!H8,IF('Cap Pricer'!$G$27=DataValidation!$B$4,'Vols - Forward Curve'!D8,IF('Cap Pricer'!$G$27=DataValidation!$B$5,'Vols - Forward Curve'!G8,IF('Cap Pricer'!$G$27=DataValidation!$B$6,'Vols - Forward Curve'!F8,IF('Cap Pricer'!$G$27=DataValidation!$B$8,'Vols - Forward Curve'!K8,IF('Cap Pricer'!$G$27=DataValidation!$B$9,'Vols - Forward Curve'!L8,IF('Cap Pricer'!$G$27=DataValidation!$B$10,'Vols - Forward Curve'!M8,IF('Cap Pricer'!$G$27=DataValidation!$B$11,'Vols - Forward Curve'!N8,"")))))))))</f>
        <v>4.4545500000000002E-2</v>
      </c>
      <c r="S8" s="177">
        <f t="shared" si="7"/>
        <v>45192</v>
      </c>
      <c r="T8" s="172">
        <v>4.4374999999999991E-2</v>
      </c>
    </row>
    <row r="9" spans="1:20">
      <c r="A9" s="33">
        <f>Volatilities_Resets!C11</f>
        <v>45222</v>
      </c>
      <c r="B9" s="130">
        <f>Volatilities_Resets!AC11/100</f>
        <v>2.1486999999999998</v>
      </c>
      <c r="C9" s="37"/>
      <c r="D9" s="130">
        <f>Volatilities_Resets!E11/100</f>
        <v>4.3246399999999997E-2</v>
      </c>
      <c r="E9" s="34"/>
      <c r="F9" s="37">
        <f t="shared" si="1"/>
        <v>-0.10004211332210648</v>
      </c>
      <c r="G9" s="37">
        <f t="shared" si="2"/>
        <v>-2.8397856661053239E-2</v>
      </c>
      <c r="H9" s="37">
        <f t="shared" si="3"/>
        <v>0.11489065666105322</v>
      </c>
      <c r="I9" s="37">
        <f t="shared" si="4"/>
        <v>0.18653491332210645</v>
      </c>
      <c r="K9" s="37">
        <f t="shared" si="0"/>
        <v>4.4583333333333322E-2</v>
      </c>
      <c r="L9" s="34">
        <v>0.06</v>
      </c>
      <c r="M9" s="27">
        <f t="shared" si="5"/>
        <v>4.57464E-2</v>
      </c>
      <c r="N9" s="37">
        <f t="shared" si="6"/>
        <v>4.8246399999999995E-2</v>
      </c>
      <c r="P9" s="37">
        <f>IF('Cap Pricer'!$G$27=DataValidation!$B$2,'Vols - Forward Curve'!I9,IF('Cap Pricer'!$G$27=DataValidation!$B$3,'Vols - Forward Curve'!H9,IF('Cap Pricer'!$G$27=DataValidation!$B$4,'Vols - Forward Curve'!D9,IF('Cap Pricer'!$G$27=DataValidation!$B$5,'Vols - Forward Curve'!G9,IF('Cap Pricer'!$G$27=DataValidation!$B$6,'Vols - Forward Curve'!F9,IF('Cap Pricer'!$G$27=DataValidation!$B$8,'Vols - Forward Curve'!K9,IF('Cap Pricer'!$G$27=DataValidation!$B$9,'Vols - Forward Curve'!L9,IF('Cap Pricer'!$G$27=DataValidation!$B$10,'Vols - Forward Curve'!M9,IF('Cap Pricer'!$G$27=DataValidation!$B$11,'Vols - Forward Curve'!N9,"")))))))))</f>
        <v>4.3246399999999997E-2</v>
      </c>
      <c r="S9" s="177">
        <f t="shared" si="7"/>
        <v>45222</v>
      </c>
      <c r="T9" s="172">
        <v>4.4583333333333322E-2</v>
      </c>
    </row>
    <row r="10" spans="1:20">
      <c r="A10" s="33">
        <f>Volatilities_Resets!C12</f>
        <v>45253</v>
      </c>
      <c r="B10" s="130">
        <f>Volatilities_Resets!AC12/100</f>
        <v>2.1438000000000001</v>
      </c>
      <c r="C10" s="37"/>
      <c r="D10" s="130">
        <f>Volatilities_Resets!E12/100</f>
        <v>4.2565900000000004E-2</v>
      </c>
      <c r="E10" s="34"/>
      <c r="F10" s="37">
        <f t="shared" si="1"/>
        <v>-0.10799349968692441</v>
      </c>
      <c r="G10" s="37">
        <f t="shared" si="2"/>
        <v>-3.2713799843462205E-2</v>
      </c>
      <c r="H10" s="37">
        <f t="shared" si="3"/>
        <v>0.1178455998434622</v>
      </c>
      <c r="I10" s="37">
        <f t="shared" si="4"/>
        <v>0.19312529968692441</v>
      </c>
      <c r="K10" s="37">
        <f t="shared" si="0"/>
        <v>4.4791666666666653E-2</v>
      </c>
      <c r="L10" s="34">
        <v>0.06</v>
      </c>
      <c r="M10" s="27">
        <f t="shared" si="5"/>
        <v>4.5065900000000006E-2</v>
      </c>
      <c r="N10" s="37">
        <f t="shared" si="6"/>
        <v>4.7565900000000001E-2</v>
      </c>
      <c r="P10" s="37">
        <f>IF('Cap Pricer'!$G$27=DataValidation!$B$2,'Vols - Forward Curve'!I10,IF('Cap Pricer'!$G$27=DataValidation!$B$3,'Vols - Forward Curve'!H10,IF('Cap Pricer'!$G$27=DataValidation!$B$4,'Vols - Forward Curve'!D10,IF('Cap Pricer'!$G$27=DataValidation!$B$5,'Vols - Forward Curve'!G10,IF('Cap Pricer'!$G$27=DataValidation!$B$6,'Vols - Forward Curve'!F10,IF('Cap Pricer'!$G$27=DataValidation!$B$8,'Vols - Forward Curve'!K10,IF('Cap Pricer'!$G$27=DataValidation!$B$9,'Vols - Forward Curve'!L10,IF('Cap Pricer'!$G$27=DataValidation!$B$10,'Vols - Forward Curve'!M10,IF('Cap Pricer'!$G$27=DataValidation!$B$11,'Vols - Forward Curve'!N10,"")))))))))</f>
        <v>4.2565900000000004E-2</v>
      </c>
      <c r="S10" s="177">
        <f t="shared" si="7"/>
        <v>45253</v>
      </c>
      <c r="T10" s="172">
        <v>4.4791666666666653E-2</v>
      </c>
    </row>
    <row r="11" spans="1:20">
      <c r="A11" s="33">
        <f>Volatilities_Resets!C13</f>
        <v>45283</v>
      </c>
      <c r="B11" s="130">
        <f>Volatilities_Resets!AC13/100</f>
        <v>2.1227999999999998</v>
      </c>
      <c r="C11" s="37"/>
      <c r="D11" s="130">
        <f>Volatilities_Resets!E13/100</f>
        <v>4.1450800000000003E-2</v>
      </c>
      <c r="E11" s="34"/>
      <c r="F11" s="37">
        <f t="shared" si="1"/>
        <v>-0.11236009101360138</v>
      </c>
      <c r="G11" s="37">
        <f t="shared" si="2"/>
        <v>-3.5454645506800692E-2</v>
      </c>
      <c r="H11" s="37">
        <f t="shared" si="3"/>
        <v>0.1183562455068007</v>
      </c>
      <c r="I11" s="37">
        <f t="shared" si="4"/>
        <v>0.19526169101360139</v>
      </c>
      <c r="K11" s="37">
        <f t="shared" si="0"/>
        <v>4.4999999999999984E-2</v>
      </c>
      <c r="L11" s="34">
        <v>0.06</v>
      </c>
      <c r="M11" s="27">
        <f t="shared" si="5"/>
        <v>4.3950800000000005E-2</v>
      </c>
      <c r="N11" s="37">
        <f t="shared" si="6"/>
        <v>4.64508E-2</v>
      </c>
      <c r="P11" s="37">
        <f>IF('Cap Pricer'!$G$27=DataValidation!$B$2,'Vols - Forward Curve'!I11,IF('Cap Pricer'!$G$27=DataValidation!$B$3,'Vols - Forward Curve'!H11,IF('Cap Pricer'!$G$27=DataValidation!$B$4,'Vols - Forward Curve'!D11,IF('Cap Pricer'!$G$27=DataValidation!$B$5,'Vols - Forward Curve'!G11,IF('Cap Pricer'!$G$27=DataValidation!$B$6,'Vols - Forward Curve'!F11,IF('Cap Pricer'!$G$27=DataValidation!$B$8,'Vols - Forward Curve'!K11,IF('Cap Pricer'!$G$27=DataValidation!$B$9,'Vols - Forward Curve'!L11,IF('Cap Pricer'!$G$27=DataValidation!$B$10,'Vols - Forward Curve'!M11,IF('Cap Pricer'!$G$27=DataValidation!$B$11,'Vols - Forward Curve'!N11,"")))))))))</f>
        <v>4.1450800000000003E-2</v>
      </c>
      <c r="S11" s="177">
        <f t="shared" si="7"/>
        <v>45283</v>
      </c>
      <c r="T11" s="172">
        <v>4.4999999999999984E-2</v>
      </c>
    </row>
    <row r="12" spans="1:20">
      <c r="A12" s="33">
        <f>Volatilities_Resets!C14</f>
        <v>45314</v>
      </c>
      <c r="B12" s="130">
        <f>Volatilities_Resets!AC14/100</f>
        <v>1.9993000000000001</v>
      </c>
      <c r="C12" s="37"/>
      <c r="D12" s="130">
        <f>Volatilities_Resets!E14/100</f>
        <v>3.9833300000000002E-2</v>
      </c>
      <c r="E12" s="34"/>
      <c r="F12" s="37">
        <f t="shared" si="1"/>
        <v>-0.10701323780904162</v>
      </c>
      <c r="G12" s="37">
        <f t="shared" si="2"/>
        <v>-3.358996890452081E-2</v>
      </c>
      <c r="H12" s="37">
        <f t="shared" si="3"/>
        <v>0.11325656890452082</v>
      </c>
      <c r="I12" s="37">
        <f t="shared" si="4"/>
        <v>0.18667983780904165</v>
      </c>
      <c r="K12" s="37">
        <f t="shared" si="0"/>
        <v>4.5208333333333316E-2</v>
      </c>
      <c r="L12" s="34">
        <v>0.06</v>
      </c>
      <c r="M12" s="27">
        <f t="shared" si="5"/>
        <v>4.2333300000000004E-2</v>
      </c>
      <c r="N12" s="37">
        <f t="shared" si="6"/>
        <v>4.48333E-2</v>
      </c>
      <c r="P12" s="37">
        <f>IF('Cap Pricer'!$G$27=DataValidation!$B$2,'Vols - Forward Curve'!I12,IF('Cap Pricer'!$G$27=DataValidation!$B$3,'Vols - Forward Curve'!H12,IF('Cap Pricer'!$G$27=DataValidation!$B$4,'Vols - Forward Curve'!D12,IF('Cap Pricer'!$G$27=DataValidation!$B$5,'Vols - Forward Curve'!G12,IF('Cap Pricer'!$G$27=DataValidation!$B$6,'Vols - Forward Curve'!F12,IF('Cap Pricer'!$G$27=DataValidation!$B$8,'Vols - Forward Curve'!K12,IF('Cap Pricer'!$G$27=DataValidation!$B$9,'Vols - Forward Curve'!L12,IF('Cap Pricer'!$G$27=DataValidation!$B$10,'Vols - Forward Curve'!M12,IF('Cap Pricer'!$G$27=DataValidation!$B$11,'Vols - Forward Curve'!N12,"")))))))))</f>
        <v>3.9833300000000002E-2</v>
      </c>
      <c r="S12" s="177">
        <f t="shared" si="7"/>
        <v>45314</v>
      </c>
      <c r="T12" s="172">
        <v>4.5208333333333316E-2</v>
      </c>
    </row>
    <row r="13" spans="1:20">
      <c r="A13" s="33">
        <f>Volatilities_Resets!C15</f>
        <v>45345</v>
      </c>
      <c r="B13" s="130">
        <f>Volatilities_Resets!AC15/100</f>
        <v>1.8455000000000001</v>
      </c>
      <c r="C13" s="37"/>
      <c r="D13" s="130">
        <f>Volatilities_Resets!E15/100</f>
        <v>3.9172400000000003E-2</v>
      </c>
      <c r="E13" s="34"/>
      <c r="F13" s="37">
        <f t="shared" si="1"/>
        <v>-0.10071800444950491</v>
      </c>
      <c r="G13" s="37">
        <f t="shared" si="2"/>
        <v>-3.0772802224752451E-2</v>
      </c>
      <c r="H13" s="37">
        <f t="shared" si="3"/>
        <v>0.10911760222475246</v>
      </c>
      <c r="I13" s="37">
        <f t="shared" si="4"/>
        <v>0.17906280444950493</v>
      </c>
      <c r="K13" s="37">
        <f t="shared" si="0"/>
        <v>4.5416666666666647E-2</v>
      </c>
      <c r="L13" s="34">
        <v>0.06</v>
      </c>
      <c r="M13" s="27">
        <f t="shared" si="5"/>
        <v>4.1672400000000005E-2</v>
      </c>
      <c r="N13" s="37">
        <f t="shared" si="6"/>
        <v>4.4172400000000001E-2</v>
      </c>
      <c r="P13" s="37">
        <f>IF('Cap Pricer'!$G$27=DataValidation!$B$2,'Vols - Forward Curve'!I13,IF('Cap Pricer'!$G$27=DataValidation!$B$3,'Vols - Forward Curve'!H13,IF('Cap Pricer'!$G$27=DataValidation!$B$4,'Vols - Forward Curve'!D13,IF('Cap Pricer'!$G$27=DataValidation!$B$5,'Vols - Forward Curve'!G13,IF('Cap Pricer'!$G$27=DataValidation!$B$6,'Vols - Forward Curve'!F13,IF('Cap Pricer'!$G$27=DataValidation!$B$8,'Vols - Forward Curve'!K13,IF('Cap Pricer'!$G$27=DataValidation!$B$9,'Vols - Forward Curve'!L13,IF('Cap Pricer'!$G$27=DataValidation!$B$10,'Vols - Forward Curve'!M13,IF('Cap Pricer'!$G$27=DataValidation!$B$11,'Vols - Forward Curve'!N13,"")))))))))</f>
        <v>3.9172400000000003E-2</v>
      </c>
      <c r="S13" s="177">
        <f t="shared" si="7"/>
        <v>45345</v>
      </c>
      <c r="T13" s="172">
        <v>4.5416666666666647E-2</v>
      </c>
    </row>
    <row r="14" spans="1:20">
      <c r="A14" s="33">
        <f>Volatilities_Resets!C16</f>
        <v>45374</v>
      </c>
      <c r="B14" s="130">
        <f>Volatilities_Resets!AC16/100</f>
        <v>1.7406999999999999</v>
      </c>
      <c r="C14" s="37"/>
      <c r="D14" s="130">
        <f>Volatilities_Resets!E16/100</f>
        <v>3.4337300000000001E-2</v>
      </c>
      <c r="E14" s="34"/>
      <c r="F14" s="37">
        <f t="shared" si="1"/>
        <v>-8.6196641995748363E-2</v>
      </c>
      <c r="G14" s="37">
        <f t="shared" si="2"/>
        <v>-2.5929670997874181E-2</v>
      </c>
      <c r="H14" s="37">
        <f t="shared" si="3"/>
        <v>9.460427099787419E-2</v>
      </c>
      <c r="I14" s="37">
        <f t="shared" si="4"/>
        <v>0.15487124199574837</v>
      </c>
      <c r="K14" s="37">
        <f t="shared" si="0"/>
        <v>4.5624999999999978E-2</v>
      </c>
      <c r="L14" s="34">
        <v>0.06</v>
      </c>
      <c r="M14" s="27">
        <f t="shared" si="5"/>
        <v>3.6837300000000003E-2</v>
      </c>
      <c r="N14" s="37">
        <f t="shared" si="6"/>
        <v>3.9337299999999999E-2</v>
      </c>
      <c r="P14" s="37">
        <f>IF('Cap Pricer'!$G$27=DataValidation!$B$2,'Vols - Forward Curve'!I14,IF('Cap Pricer'!$G$27=DataValidation!$B$3,'Vols - Forward Curve'!H14,IF('Cap Pricer'!$G$27=DataValidation!$B$4,'Vols - Forward Curve'!D14,IF('Cap Pricer'!$G$27=DataValidation!$B$5,'Vols - Forward Curve'!G14,IF('Cap Pricer'!$G$27=DataValidation!$B$6,'Vols - Forward Curve'!F14,IF('Cap Pricer'!$G$27=DataValidation!$B$8,'Vols - Forward Curve'!K14,IF('Cap Pricer'!$G$27=DataValidation!$B$9,'Vols - Forward Curve'!L14,IF('Cap Pricer'!$G$27=DataValidation!$B$10,'Vols - Forward Curve'!M14,IF('Cap Pricer'!$G$27=DataValidation!$B$11,'Vols - Forward Curve'!N14,"")))))))))</f>
        <v>3.4337300000000001E-2</v>
      </c>
      <c r="S14" s="177">
        <f t="shared" si="7"/>
        <v>45374</v>
      </c>
      <c r="T14" s="172">
        <v>4.5624999999999978E-2</v>
      </c>
    </row>
    <row r="15" spans="1:20">
      <c r="A15" s="33">
        <f>Volatilities_Resets!C17</f>
        <v>45405</v>
      </c>
      <c r="B15" s="130">
        <f>Volatilities_Resets!AC17/100</f>
        <v>1.7179</v>
      </c>
      <c r="C15" s="37"/>
      <c r="D15" s="130">
        <f>Volatilities_Resets!E17/100</f>
        <v>3.4337300000000001E-2</v>
      </c>
      <c r="E15" s="34"/>
      <c r="F15" s="37">
        <f t="shared" si="1"/>
        <v>-8.9553204427790883E-2</v>
      </c>
      <c r="G15" s="37">
        <f t="shared" si="2"/>
        <v>-2.7607952213895441E-2</v>
      </c>
      <c r="H15" s="37">
        <f t="shared" si="3"/>
        <v>9.6282552213895436E-2</v>
      </c>
      <c r="I15" s="37">
        <f t="shared" si="4"/>
        <v>0.15822780442779089</v>
      </c>
      <c r="K15" s="37">
        <f t="shared" si="0"/>
        <v>4.5833333333333309E-2</v>
      </c>
      <c r="L15" s="34">
        <v>0.06</v>
      </c>
      <c r="M15" s="27">
        <f t="shared" si="5"/>
        <v>3.6837300000000003E-2</v>
      </c>
      <c r="N15" s="37">
        <f t="shared" si="6"/>
        <v>3.9337299999999999E-2</v>
      </c>
      <c r="P15" s="37">
        <f>IF('Cap Pricer'!$G$27=DataValidation!$B$2,'Vols - Forward Curve'!I15,IF('Cap Pricer'!$G$27=DataValidation!$B$3,'Vols - Forward Curve'!H15,IF('Cap Pricer'!$G$27=DataValidation!$B$4,'Vols - Forward Curve'!D15,IF('Cap Pricer'!$G$27=DataValidation!$B$5,'Vols - Forward Curve'!G15,IF('Cap Pricer'!$G$27=DataValidation!$B$6,'Vols - Forward Curve'!F15,IF('Cap Pricer'!$G$27=DataValidation!$B$8,'Vols - Forward Curve'!K15,IF('Cap Pricer'!$G$27=DataValidation!$B$9,'Vols - Forward Curve'!L15,IF('Cap Pricer'!$G$27=DataValidation!$B$10,'Vols - Forward Curve'!M15,IF('Cap Pricer'!$G$27=DataValidation!$B$11,'Vols - Forward Curve'!N15,"")))))))))</f>
        <v>3.4337300000000001E-2</v>
      </c>
      <c r="S15" s="177">
        <f t="shared" si="7"/>
        <v>45405</v>
      </c>
      <c r="T15" s="172">
        <v>4.5833333333333309E-2</v>
      </c>
    </row>
    <row r="16" spans="1:20">
      <c r="A16" s="33">
        <f>Volatilities_Resets!C18</f>
        <v>45435</v>
      </c>
      <c r="B16" s="130">
        <f>Volatilities_Resets!AC18/100</f>
        <v>1.7109000000000001</v>
      </c>
      <c r="C16" s="37"/>
      <c r="D16" s="130">
        <f>Volatilities_Resets!E18/100</f>
        <v>3.4333999999999996E-2</v>
      </c>
      <c r="E16" s="34"/>
      <c r="F16" s="37">
        <f t="shared" si="1"/>
        <v>-9.3616418850203428E-2</v>
      </c>
      <c r="G16" s="37">
        <f t="shared" si="2"/>
        <v>-2.9641209425101716E-2</v>
      </c>
      <c r="H16" s="37">
        <f t="shared" si="3"/>
        <v>9.8309209425101712E-2</v>
      </c>
      <c r="I16" s="37">
        <f t="shared" si="4"/>
        <v>0.16228441885020342</v>
      </c>
      <c r="K16" s="37">
        <f t="shared" si="0"/>
        <v>4.604166666666664E-2</v>
      </c>
      <c r="L16" s="34">
        <v>0.06</v>
      </c>
      <c r="M16" s="27">
        <f t="shared" si="5"/>
        <v>3.6833999999999999E-2</v>
      </c>
      <c r="N16" s="37">
        <f t="shared" si="6"/>
        <v>3.9333999999999994E-2</v>
      </c>
      <c r="P16" s="37">
        <f>IF('Cap Pricer'!$G$27=DataValidation!$B$2,'Vols - Forward Curve'!I16,IF('Cap Pricer'!$G$27=DataValidation!$B$3,'Vols - Forward Curve'!H16,IF('Cap Pricer'!$G$27=DataValidation!$B$4,'Vols - Forward Curve'!D16,IF('Cap Pricer'!$G$27=DataValidation!$B$5,'Vols - Forward Curve'!G16,IF('Cap Pricer'!$G$27=DataValidation!$B$6,'Vols - Forward Curve'!F16,IF('Cap Pricer'!$G$27=DataValidation!$B$8,'Vols - Forward Curve'!K16,IF('Cap Pricer'!$G$27=DataValidation!$B$9,'Vols - Forward Curve'!L16,IF('Cap Pricer'!$G$27=DataValidation!$B$10,'Vols - Forward Curve'!M16,IF('Cap Pricer'!$G$27=DataValidation!$B$11,'Vols - Forward Curve'!N16,"")))))))))</f>
        <v>3.4333999999999996E-2</v>
      </c>
      <c r="S16" s="177">
        <f t="shared" si="7"/>
        <v>45435</v>
      </c>
      <c r="T16" s="172">
        <v>4.604166666666664E-2</v>
      </c>
    </row>
    <row r="17" spans="1:20">
      <c r="A17" s="33">
        <f>Volatilities_Resets!C19</f>
        <v>45466</v>
      </c>
      <c r="B17" s="130">
        <f>Volatilities_Resets!AC19/100</f>
        <v>1.734</v>
      </c>
      <c r="C17" s="37"/>
      <c r="D17" s="130">
        <f>Volatilities_Resets!E19/100</f>
        <v>3.4332399999999999E-2</v>
      </c>
      <c r="E17" s="34"/>
      <c r="F17" s="37">
        <f t="shared" si="1"/>
        <v>-9.996411448307925E-2</v>
      </c>
      <c r="G17" s="37">
        <f t="shared" si="2"/>
        <v>-3.2815857241539625E-2</v>
      </c>
      <c r="H17" s="37">
        <f t="shared" si="3"/>
        <v>0.10148065724153964</v>
      </c>
      <c r="I17" s="37">
        <f t="shared" si="4"/>
        <v>0.16862891448307926</v>
      </c>
      <c r="K17" s="37">
        <f t="shared" si="0"/>
        <v>4.6249999999999999E-2</v>
      </c>
      <c r="L17" s="34">
        <v>0.06</v>
      </c>
      <c r="M17" s="27">
        <f t="shared" si="5"/>
        <v>3.6832400000000001E-2</v>
      </c>
      <c r="N17" s="37">
        <f t="shared" si="6"/>
        <v>3.9332399999999997E-2</v>
      </c>
      <c r="P17" s="37">
        <f>IF('Cap Pricer'!$G$27=DataValidation!$B$2,'Vols - Forward Curve'!I17,IF('Cap Pricer'!$G$27=DataValidation!$B$3,'Vols - Forward Curve'!H17,IF('Cap Pricer'!$G$27=DataValidation!$B$4,'Vols - Forward Curve'!D17,IF('Cap Pricer'!$G$27=DataValidation!$B$5,'Vols - Forward Curve'!G17,IF('Cap Pricer'!$G$27=DataValidation!$B$6,'Vols - Forward Curve'!F17,IF('Cap Pricer'!$G$27=DataValidation!$B$8,'Vols - Forward Curve'!K17,IF('Cap Pricer'!$G$27=DataValidation!$B$9,'Vols - Forward Curve'!L17,IF('Cap Pricer'!$G$27=DataValidation!$B$10,'Vols - Forward Curve'!M17,IF('Cap Pricer'!$G$27=DataValidation!$B$11,'Vols - Forward Curve'!N17,"")))))))))</f>
        <v>3.4332399999999999E-2</v>
      </c>
      <c r="S17" s="177">
        <f t="shared" si="7"/>
        <v>45466</v>
      </c>
      <c r="T17" s="172">
        <v>4.6249999999999999E-2</v>
      </c>
    </row>
    <row r="18" spans="1:20">
      <c r="A18" s="33">
        <f>Volatilities_Resets!C20</f>
        <v>45496</v>
      </c>
      <c r="B18" s="130">
        <f>Volatilities_Resets!AC20/100</f>
        <v>1.7175</v>
      </c>
      <c r="C18" s="37"/>
      <c r="D18" s="130">
        <f>Volatilities_Resets!E20/100</f>
        <v>3.4335600000000001E-2</v>
      </c>
      <c r="E18" s="34"/>
      <c r="F18" s="37">
        <f t="shared" si="1"/>
        <v>-0.10298321370947194</v>
      </c>
      <c r="G18" s="37">
        <f t="shared" si="2"/>
        <v>-3.4323806854735968E-2</v>
      </c>
      <c r="H18" s="37">
        <f t="shared" si="3"/>
        <v>0.10299500685473598</v>
      </c>
      <c r="I18" s="37">
        <f t="shared" si="4"/>
        <v>0.17165441370947193</v>
      </c>
      <c r="K18" s="37">
        <f t="shared" si="0"/>
        <v>4.5624999999999999E-2</v>
      </c>
      <c r="L18" s="34">
        <v>0.06</v>
      </c>
      <c r="M18" s="27">
        <f t="shared" si="5"/>
        <v>3.6835600000000003E-2</v>
      </c>
      <c r="N18" s="37">
        <f t="shared" si="6"/>
        <v>3.9335599999999998E-2</v>
      </c>
      <c r="P18" s="37">
        <f>IF('Cap Pricer'!$G$27=DataValidation!$B$2,'Vols - Forward Curve'!I18,IF('Cap Pricer'!$G$27=DataValidation!$B$3,'Vols - Forward Curve'!H18,IF('Cap Pricer'!$G$27=DataValidation!$B$4,'Vols - Forward Curve'!D18,IF('Cap Pricer'!$G$27=DataValidation!$B$5,'Vols - Forward Curve'!G18,IF('Cap Pricer'!$G$27=DataValidation!$B$6,'Vols - Forward Curve'!F18,IF('Cap Pricer'!$G$27=DataValidation!$B$8,'Vols - Forward Curve'!K18,IF('Cap Pricer'!$G$27=DataValidation!$B$9,'Vols - Forward Curve'!L18,IF('Cap Pricer'!$G$27=DataValidation!$B$10,'Vols - Forward Curve'!M18,IF('Cap Pricer'!$G$27=DataValidation!$B$11,'Vols - Forward Curve'!N18,"")))))))))</f>
        <v>3.4335600000000001E-2</v>
      </c>
      <c r="S18" s="177">
        <f t="shared" si="7"/>
        <v>45496</v>
      </c>
      <c r="T18" s="172">
        <v>4.5624999999999999E-2</v>
      </c>
    </row>
    <row r="19" spans="1:20">
      <c r="A19" s="33">
        <f>Volatilities_Resets!C21</f>
        <v>45527</v>
      </c>
      <c r="B19" s="130">
        <f>Volatilities_Resets!AC21/100</f>
        <v>1.7128999999999999</v>
      </c>
      <c r="C19" s="37"/>
      <c r="D19" s="130">
        <f>Volatilities_Resets!E21/100</f>
        <v>3.4333999999999996E-2</v>
      </c>
      <c r="E19" s="34"/>
      <c r="F19" s="37">
        <f t="shared" si="1"/>
        <v>-0.10689335855868502</v>
      </c>
      <c r="G19" s="37">
        <f t="shared" si="2"/>
        <v>-3.6279679279342517E-2</v>
      </c>
      <c r="H19" s="37">
        <f t="shared" si="3"/>
        <v>0.10494767927934251</v>
      </c>
      <c r="I19" s="37">
        <f t="shared" si="4"/>
        <v>0.17556135855868502</v>
      </c>
      <c r="K19" s="37">
        <f t="shared" si="0"/>
        <v>4.4999999999999998E-2</v>
      </c>
      <c r="L19" s="34">
        <v>0.06</v>
      </c>
      <c r="M19" s="27">
        <f t="shared" si="5"/>
        <v>3.6833999999999999E-2</v>
      </c>
      <c r="N19" s="37">
        <f t="shared" si="6"/>
        <v>3.9333999999999994E-2</v>
      </c>
      <c r="P19" s="37">
        <f>IF('Cap Pricer'!$G$27=DataValidation!$B$2,'Vols - Forward Curve'!I19,IF('Cap Pricer'!$G$27=DataValidation!$B$3,'Vols - Forward Curve'!H19,IF('Cap Pricer'!$G$27=DataValidation!$B$4,'Vols - Forward Curve'!D19,IF('Cap Pricer'!$G$27=DataValidation!$B$5,'Vols - Forward Curve'!G19,IF('Cap Pricer'!$G$27=DataValidation!$B$6,'Vols - Forward Curve'!F19,IF('Cap Pricer'!$G$27=DataValidation!$B$8,'Vols - Forward Curve'!K19,IF('Cap Pricer'!$G$27=DataValidation!$B$9,'Vols - Forward Curve'!L19,IF('Cap Pricer'!$G$27=DataValidation!$B$10,'Vols - Forward Curve'!M19,IF('Cap Pricer'!$G$27=DataValidation!$B$11,'Vols - Forward Curve'!N19,"")))))))))</f>
        <v>3.4333999999999996E-2</v>
      </c>
      <c r="S19" s="177">
        <f t="shared" si="7"/>
        <v>45527</v>
      </c>
      <c r="T19" s="172">
        <v>4.4999999999999998E-2</v>
      </c>
    </row>
    <row r="20" spans="1:20">
      <c r="A20" s="33">
        <f>Volatilities_Resets!C22</f>
        <v>45558</v>
      </c>
      <c r="B20" s="130">
        <f>Volatilities_Resets!AC22/100</f>
        <v>1.7150000000000001</v>
      </c>
      <c r="C20" s="37"/>
      <c r="D20" s="130">
        <f>Volatilities_Resets!E22/100</f>
        <v>3.05455E-2</v>
      </c>
      <c r="E20" s="34"/>
      <c r="F20" s="37">
        <f t="shared" si="1"/>
        <v>-9.8955002290733562E-2</v>
      </c>
      <c r="G20" s="37">
        <f t="shared" si="2"/>
        <v>-3.420475114536678E-2</v>
      </c>
      <c r="H20" s="37">
        <f t="shared" si="3"/>
        <v>9.5295751145366772E-2</v>
      </c>
      <c r="I20" s="37">
        <f t="shared" si="4"/>
        <v>0.16004600229073357</v>
      </c>
      <c r="K20" s="37">
        <f t="shared" si="0"/>
        <v>4.4374999999999998E-2</v>
      </c>
      <c r="L20" s="34">
        <v>0.06</v>
      </c>
      <c r="M20" s="27">
        <f t="shared" si="5"/>
        <v>3.3045499999999998E-2</v>
      </c>
      <c r="N20" s="37">
        <f t="shared" si="6"/>
        <v>3.5545500000000001E-2</v>
      </c>
      <c r="P20" s="37">
        <f>IF('Cap Pricer'!$G$27=DataValidation!$B$2,'Vols - Forward Curve'!I20,IF('Cap Pricer'!$G$27=DataValidation!$B$3,'Vols - Forward Curve'!H20,IF('Cap Pricer'!$G$27=DataValidation!$B$4,'Vols - Forward Curve'!D20,IF('Cap Pricer'!$G$27=DataValidation!$B$5,'Vols - Forward Curve'!G20,IF('Cap Pricer'!$G$27=DataValidation!$B$6,'Vols - Forward Curve'!F20,IF('Cap Pricer'!$G$27=DataValidation!$B$8,'Vols - Forward Curve'!K20,IF('Cap Pricer'!$G$27=DataValidation!$B$9,'Vols - Forward Curve'!L20,IF('Cap Pricer'!$G$27=DataValidation!$B$10,'Vols - Forward Curve'!M20,IF('Cap Pricer'!$G$27=DataValidation!$B$11,'Vols - Forward Curve'!N20,"")))))))))</f>
        <v>3.05455E-2</v>
      </c>
      <c r="S20" s="177">
        <f t="shared" si="7"/>
        <v>45558</v>
      </c>
      <c r="T20" s="172">
        <v>4.4374999999999998E-2</v>
      </c>
    </row>
    <row r="21" spans="1:20">
      <c r="A21" s="33">
        <f>Volatilities_Resets!C23</f>
        <v>45588</v>
      </c>
      <c r="B21" s="130">
        <f>Volatilities_Resets!AC23/100</f>
        <v>1.7058000000000002</v>
      </c>
      <c r="C21" s="37"/>
      <c r="D21" s="130">
        <f>Volatilities_Resets!E23/100</f>
        <v>2.9600100000000001E-2</v>
      </c>
      <c r="E21" s="34"/>
      <c r="F21" s="37">
        <f t="shared" si="1"/>
        <v>-9.8578059237487664E-2</v>
      </c>
      <c r="G21" s="37">
        <f t="shared" si="2"/>
        <v>-3.448897961874383E-2</v>
      </c>
      <c r="H21" s="37">
        <f t="shared" si="3"/>
        <v>9.3689179618743831E-2</v>
      </c>
      <c r="I21" s="37">
        <f t="shared" si="4"/>
        <v>0.15777825923748767</v>
      </c>
      <c r="K21" s="37">
        <f t="shared" si="0"/>
        <v>4.3749999999999997E-2</v>
      </c>
      <c r="L21" s="34">
        <v>0.06</v>
      </c>
      <c r="M21" s="27">
        <f t="shared" si="5"/>
        <v>3.2100099999999999E-2</v>
      </c>
      <c r="N21" s="37">
        <f t="shared" si="6"/>
        <v>3.4600100000000002E-2</v>
      </c>
      <c r="P21" s="37">
        <f>IF('Cap Pricer'!$G$27=DataValidation!$B$2,'Vols - Forward Curve'!I21,IF('Cap Pricer'!$G$27=DataValidation!$B$3,'Vols - Forward Curve'!H21,IF('Cap Pricer'!$G$27=DataValidation!$B$4,'Vols - Forward Curve'!D21,IF('Cap Pricer'!$G$27=DataValidation!$B$5,'Vols - Forward Curve'!G21,IF('Cap Pricer'!$G$27=DataValidation!$B$6,'Vols - Forward Curve'!F21,IF('Cap Pricer'!$G$27=DataValidation!$B$8,'Vols - Forward Curve'!K21,IF('Cap Pricer'!$G$27=DataValidation!$B$9,'Vols - Forward Curve'!L21,IF('Cap Pricer'!$G$27=DataValidation!$B$10,'Vols - Forward Curve'!M21,IF('Cap Pricer'!$G$27=DataValidation!$B$11,'Vols - Forward Curve'!N21,"")))))))))</f>
        <v>2.9600100000000001E-2</v>
      </c>
      <c r="S21" s="177">
        <f t="shared" si="7"/>
        <v>45588</v>
      </c>
      <c r="T21" s="172">
        <v>4.3749999999999997E-2</v>
      </c>
    </row>
    <row r="22" spans="1:20">
      <c r="A22" s="33">
        <f>Volatilities_Resets!C24</f>
        <v>45619</v>
      </c>
      <c r="B22" s="130">
        <f>Volatilities_Resets!AC24/100</f>
        <v>1.7036000000000002</v>
      </c>
      <c r="C22" s="37"/>
      <c r="D22" s="130">
        <f>Volatilities_Resets!E24/100</f>
        <v>2.9598900000000001E-2</v>
      </c>
      <c r="E22" s="34"/>
      <c r="F22" s="37">
        <f t="shared" si="1"/>
        <v>-0.10178512219465487</v>
      </c>
      <c r="G22" s="37">
        <f t="shared" si="2"/>
        <v>-3.6093111097327435E-2</v>
      </c>
      <c r="H22" s="37">
        <f t="shared" si="3"/>
        <v>9.5290911097327444E-2</v>
      </c>
      <c r="I22" s="37">
        <f t="shared" si="4"/>
        <v>0.16098292219465488</v>
      </c>
      <c r="K22" s="37">
        <f t="shared" si="0"/>
        <v>4.3124999999999997E-2</v>
      </c>
      <c r="L22" s="34">
        <v>0.06</v>
      </c>
      <c r="M22" s="27">
        <f t="shared" si="5"/>
        <v>3.20989E-2</v>
      </c>
      <c r="N22" s="37">
        <f t="shared" si="6"/>
        <v>3.4598900000000002E-2</v>
      </c>
      <c r="P22" s="37">
        <f>IF('Cap Pricer'!$G$27=DataValidation!$B$2,'Vols - Forward Curve'!I22,IF('Cap Pricer'!$G$27=DataValidation!$B$3,'Vols - Forward Curve'!H22,IF('Cap Pricer'!$G$27=DataValidation!$B$4,'Vols - Forward Curve'!D22,IF('Cap Pricer'!$G$27=DataValidation!$B$5,'Vols - Forward Curve'!G22,IF('Cap Pricer'!$G$27=DataValidation!$B$6,'Vols - Forward Curve'!F22,IF('Cap Pricer'!$G$27=DataValidation!$B$8,'Vols - Forward Curve'!K22,IF('Cap Pricer'!$G$27=DataValidation!$B$9,'Vols - Forward Curve'!L22,IF('Cap Pricer'!$G$27=DataValidation!$B$10,'Vols - Forward Curve'!M22,IF('Cap Pricer'!$G$27=DataValidation!$B$11,'Vols - Forward Curve'!N22,"")))))))))</f>
        <v>2.9598900000000001E-2</v>
      </c>
      <c r="S22" s="177">
        <f t="shared" si="7"/>
        <v>45619</v>
      </c>
      <c r="T22" s="172">
        <v>4.3124999999999997E-2</v>
      </c>
    </row>
    <row r="23" spans="1:20">
      <c r="A23" s="33">
        <f>Volatilities_Resets!C25</f>
        <v>45649</v>
      </c>
      <c r="B23" s="130">
        <f>Volatilities_Resets!AC25/100</f>
        <v>1.71</v>
      </c>
      <c r="C23" s="37"/>
      <c r="D23" s="130">
        <f>Volatilities_Resets!E25/100</f>
        <v>2.96014E-2</v>
      </c>
      <c r="E23" s="34"/>
      <c r="F23" s="37">
        <f t="shared" si="1"/>
        <v>-0.10548639782629642</v>
      </c>
      <c r="G23" s="37">
        <f t="shared" si="2"/>
        <v>-3.7942498913148208E-2</v>
      </c>
      <c r="H23" s="37">
        <f>$D23*(1+(SQRT(YEARFRAC($A$2,$A23,2))*(1*$B23)))</f>
        <v>9.7145298913148201E-2</v>
      </c>
      <c r="I23" s="37">
        <f t="shared" si="4"/>
        <v>0.1646891978262964</v>
      </c>
      <c r="K23" s="37">
        <f t="shared" si="0"/>
        <v>4.2499999999999996E-2</v>
      </c>
      <c r="L23" s="34">
        <v>0.06</v>
      </c>
      <c r="M23" s="27">
        <f t="shared" si="5"/>
        <v>3.2101400000000002E-2</v>
      </c>
      <c r="N23" s="37">
        <f t="shared" si="6"/>
        <v>3.4601399999999997E-2</v>
      </c>
      <c r="P23" s="37">
        <f>IF('Cap Pricer'!$G$27=DataValidation!$B$2,'Vols - Forward Curve'!I23,IF('Cap Pricer'!$G$27=DataValidation!$B$3,'Vols - Forward Curve'!H23,IF('Cap Pricer'!$G$27=DataValidation!$B$4,'Vols - Forward Curve'!D23,IF('Cap Pricer'!$G$27=DataValidation!$B$5,'Vols - Forward Curve'!G23,IF('Cap Pricer'!$G$27=DataValidation!$B$6,'Vols - Forward Curve'!F23,IF('Cap Pricer'!$G$27=DataValidation!$B$8,'Vols - Forward Curve'!K23,IF('Cap Pricer'!$G$27=DataValidation!$B$9,'Vols - Forward Curve'!L23,IF('Cap Pricer'!$G$27=DataValidation!$B$10,'Vols - Forward Curve'!M23,IF('Cap Pricer'!$G$27=DataValidation!$B$11,'Vols - Forward Curve'!N23,"")))))))))</f>
        <v>2.96014E-2</v>
      </c>
      <c r="S23" s="177">
        <f t="shared" si="7"/>
        <v>45649</v>
      </c>
      <c r="T23" s="172">
        <v>4.2499999999999996E-2</v>
      </c>
    </row>
    <row r="24" spans="1:20">
      <c r="A24" s="33">
        <f>Volatilities_Resets!C26</f>
        <v>45680</v>
      </c>
      <c r="B24" s="130">
        <f>Volatilities_Resets!AC26/100</f>
        <v>1.6400999999999999</v>
      </c>
      <c r="C24" s="37"/>
      <c r="D24" s="130">
        <f>Volatilities_Resets!E26/100</f>
        <v>2.9600100000000001E-2</v>
      </c>
      <c r="E24" s="34"/>
      <c r="F24" s="37">
        <f t="shared" si="1"/>
        <v>-0.10305589721584134</v>
      </c>
      <c r="G24" s="37">
        <f t="shared" si="2"/>
        <v>-3.6727898607920667E-2</v>
      </c>
      <c r="H24" s="37">
        <f t="shared" si="3"/>
        <v>9.5928098607920675E-2</v>
      </c>
      <c r="I24" s="37">
        <f t="shared" si="4"/>
        <v>0.16225609721584133</v>
      </c>
      <c r="K24" s="37">
        <f t="shared" si="0"/>
        <v>4.1874999999999996E-2</v>
      </c>
      <c r="L24" s="34">
        <v>0.06</v>
      </c>
      <c r="M24" s="27">
        <f t="shared" si="5"/>
        <v>3.2100099999999999E-2</v>
      </c>
      <c r="N24" s="37">
        <f t="shared" si="6"/>
        <v>3.4600100000000002E-2</v>
      </c>
      <c r="P24" s="37">
        <f>IF('Cap Pricer'!$G$27=DataValidation!$B$2,'Vols - Forward Curve'!I24,IF('Cap Pricer'!$G$27=DataValidation!$B$3,'Vols - Forward Curve'!H24,IF('Cap Pricer'!$G$27=DataValidation!$B$4,'Vols - Forward Curve'!D24,IF('Cap Pricer'!$G$27=DataValidation!$B$5,'Vols - Forward Curve'!G24,IF('Cap Pricer'!$G$27=DataValidation!$B$6,'Vols - Forward Curve'!F24,IF('Cap Pricer'!$G$27=DataValidation!$B$8,'Vols - Forward Curve'!K24,IF('Cap Pricer'!$G$27=DataValidation!$B$9,'Vols - Forward Curve'!L24,IF('Cap Pricer'!$G$27=DataValidation!$B$10,'Vols - Forward Curve'!M24,IF('Cap Pricer'!$G$27=DataValidation!$B$11,'Vols - Forward Curve'!N24,"")))))))))</f>
        <v>2.9600100000000001E-2</v>
      </c>
      <c r="S24" s="177">
        <f t="shared" si="7"/>
        <v>45680</v>
      </c>
      <c r="T24" s="172">
        <v>4.1874999999999996E-2</v>
      </c>
    </row>
    <row r="25" spans="1:20">
      <c r="A25" s="33">
        <f>Volatilities_Resets!C27</f>
        <v>45711</v>
      </c>
      <c r="B25" s="130">
        <f>Volatilities_Resets!AC27/100</f>
        <v>1.5696000000000001</v>
      </c>
      <c r="C25" s="37"/>
      <c r="D25" s="130">
        <f>Volatilities_Resets!E27/100</f>
        <v>2.9596499999999998E-2</v>
      </c>
      <c r="E25" s="34"/>
      <c r="F25" s="37">
        <f t="shared" si="1"/>
        <v>-0.10023669766042155</v>
      </c>
      <c r="G25" s="37">
        <f t="shared" si="2"/>
        <v>-3.5320098830210776E-2</v>
      </c>
      <c r="H25" s="37">
        <f t="shared" si="3"/>
        <v>9.4513098830210779E-2</v>
      </c>
      <c r="I25" s="37">
        <f t="shared" si="4"/>
        <v>0.15942969766042156</v>
      </c>
      <c r="K25" s="37">
        <f t="shared" si="0"/>
        <v>4.1249999999999995E-2</v>
      </c>
      <c r="L25" s="34">
        <v>0.06</v>
      </c>
      <c r="M25" s="27">
        <f t="shared" si="5"/>
        <v>3.20965E-2</v>
      </c>
      <c r="N25" s="37">
        <f t="shared" si="6"/>
        <v>3.4596499999999995E-2</v>
      </c>
      <c r="P25" s="37">
        <f>IF('Cap Pricer'!$G$27=DataValidation!$B$2,'Vols - Forward Curve'!I25,IF('Cap Pricer'!$G$27=DataValidation!$B$3,'Vols - Forward Curve'!H25,IF('Cap Pricer'!$G$27=DataValidation!$B$4,'Vols - Forward Curve'!D25,IF('Cap Pricer'!$G$27=DataValidation!$B$5,'Vols - Forward Curve'!G25,IF('Cap Pricer'!$G$27=DataValidation!$B$6,'Vols - Forward Curve'!F25,IF('Cap Pricer'!$G$27=DataValidation!$B$8,'Vols - Forward Curve'!K25,IF('Cap Pricer'!$G$27=DataValidation!$B$9,'Vols - Forward Curve'!L25,IF('Cap Pricer'!$G$27=DataValidation!$B$10,'Vols - Forward Curve'!M25,IF('Cap Pricer'!$G$27=DataValidation!$B$11,'Vols - Forward Curve'!N25,"")))))))))</f>
        <v>2.9596499999999998E-2</v>
      </c>
      <c r="S25" s="177">
        <f t="shared" si="7"/>
        <v>45711</v>
      </c>
      <c r="T25" s="172">
        <v>4.1249999999999995E-2</v>
      </c>
    </row>
    <row r="26" spans="1:20">
      <c r="A26" s="33">
        <f>Volatilities_Resets!C28</f>
        <v>45739</v>
      </c>
      <c r="B26" s="130">
        <f>Volatilities_Resets!AC28/100</f>
        <v>1.5231999999999999</v>
      </c>
      <c r="C26" s="37"/>
      <c r="D26" s="130">
        <f>Volatilities_Resets!E28/100</f>
        <v>2.8767399999999999E-2</v>
      </c>
      <c r="E26" s="34"/>
      <c r="F26" s="37">
        <f t="shared" si="1"/>
        <v>-9.6113200065079965E-2</v>
      </c>
      <c r="G26" s="37">
        <f t="shared" si="2"/>
        <v>-3.3672900032539983E-2</v>
      </c>
      <c r="H26" s="37">
        <f t="shared" si="3"/>
        <v>9.1207700032539987E-2</v>
      </c>
      <c r="I26" s="37">
        <f t="shared" si="4"/>
        <v>0.15364800006507998</v>
      </c>
      <c r="K26" s="37">
        <f t="shared" si="0"/>
        <v>4.0624999999999994E-2</v>
      </c>
      <c r="L26" s="34">
        <v>0.06</v>
      </c>
      <c r="M26" s="27">
        <f t="shared" si="5"/>
        <v>3.1267400000000001E-2</v>
      </c>
      <c r="N26" s="37">
        <f t="shared" si="6"/>
        <v>3.3767399999999996E-2</v>
      </c>
      <c r="P26" s="37">
        <f>IF('Cap Pricer'!$G$27=DataValidation!$B$2,'Vols - Forward Curve'!I26,IF('Cap Pricer'!$G$27=DataValidation!$B$3,'Vols - Forward Curve'!H26,IF('Cap Pricer'!$G$27=DataValidation!$B$4,'Vols - Forward Curve'!D26,IF('Cap Pricer'!$G$27=DataValidation!$B$5,'Vols - Forward Curve'!G26,IF('Cap Pricer'!$G$27=DataValidation!$B$6,'Vols - Forward Curve'!F26,IF('Cap Pricer'!$G$27=DataValidation!$B$8,'Vols - Forward Curve'!K26,IF('Cap Pricer'!$G$27=DataValidation!$B$9,'Vols - Forward Curve'!L26,IF('Cap Pricer'!$G$27=DataValidation!$B$10,'Vols - Forward Curve'!M26,IF('Cap Pricer'!$G$27=DataValidation!$B$11,'Vols - Forward Curve'!N26,"")))))))))</f>
        <v>2.8767399999999999E-2</v>
      </c>
      <c r="S26" s="177">
        <f t="shared" si="7"/>
        <v>45739</v>
      </c>
      <c r="T26" s="172">
        <v>4.0624999999999994E-2</v>
      </c>
    </row>
    <row r="27" spans="1:20">
      <c r="A27" s="33">
        <f>Volatilities_Resets!C29</f>
        <v>45770</v>
      </c>
      <c r="B27" s="130">
        <f>Volatilities_Resets!AC29/100</f>
        <v>1.5233000000000001</v>
      </c>
      <c r="C27" s="37"/>
      <c r="D27" s="130">
        <f>Volatilities_Resets!E29/100</f>
        <v>2.8617199999999999E-2</v>
      </c>
      <c r="E27" s="34"/>
      <c r="F27" s="37">
        <f t="shared" si="1"/>
        <v>-9.8226473698316413E-2</v>
      </c>
      <c r="G27" s="37">
        <f t="shared" si="2"/>
        <v>-3.4804636849158209E-2</v>
      </c>
      <c r="H27" s="37">
        <f t="shared" si="3"/>
        <v>9.2039036849158207E-2</v>
      </c>
      <c r="I27" s="37">
        <f t="shared" si="4"/>
        <v>0.1554608736983164</v>
      </c>
      <c r="K27" s="37">
        <f t="shared" si="0"/>
        <v>3.9999999999999994E-2</v>
      </c>
      <c r="L27" s="34">
        <v>0.06</v>
      </c>
      <c r="M27" s="27">
        <f t="shared" si="5"/>
        <v>3.1117199999999998E-2</v>
      </c>
      <c r="N27" s="37">
        <f t="shared" si="6"/>
        <v>3.36172E-2</v>
      </c>
      <c r="P27" s="37">
        <f>IF('Cap Pricer'!$G$27=DataValidation!$B$2,'Vols - Forward Curve'!I27,IF('Cap Pricer'!$G$27=DataValidation!$B$3,'Vols - Forward Curve'!H27,IF('Cap Pricer'!$G$27=DataValidation!$B$4,'Vols - Forward Curve'!D27,IF('Cap Pricer'!$G$27=DataValidation!$B$5,'Vols - Forward Curve'!G27,IF('Cap Pricer'!$G$27=DataValidation!$B$6,'Vols - Forward Curve'!F27,IF('Cap Pricer'!$G$27=DataValidation!$B$8,'Vols - Forward Curve'!K27,IF('Cap Pricer'!$G$27=DataValidation!$B$9,'Vols - Forward Curve'!L27,IF('Cap Pricer'!$G$27=DataValidation!$B$10,'Vols - Forward Curve'!M27,IF('Cap Pricer'!$G$27=DataValidation!$B$11,'Vols - Forward Curve'!N27,"")))))))))</f>
        <v>2.8617199999999999E-2</v>
      </c>
      <c r="S27" s="177">
        <f t="shared" si="7"/>
        <v>45770</v>
      </c>
      <c r="T27" s="172">
        <v>3.9999999999999994E-2</v>
      </c>
    </row>
    <row r="28" spans="1:20">
      <c r="A28" s="33">
        <f>Volatilities_Resets!C30</f>
        <v>45800</v>
      </c>
      <c r="B28" s="130">
        <f>Volatilities_Resets!AC30/100</f>
        <v>1.5233000000000001</v>
      </c>
      <c r="C28" s="37"/>
      <c r="D28" s="130">
        <f>Volatilities_Resets!E30/100</f>
        <v>2.8618299999999999E-2</v>
      </c>
      <c r="E28" s="34"/>
      <c r="F28" s="37">
        <f t="shared" si="1"/>
        <v>-0.10070316331423139</v>
      </c>
      <c r="G28" s="37">
        <f t="shared" si="2"/>
        <v>-3.6042431657115695E-2</v>
      </c>
      <c r="H28" s="37">
        <f t="shared" si="3"/>
        <v>9.3279031657115694E-2</v>
      </c>
      <c r="I28" s="37">
        <f t="shared" si="4"/>
        <v>0.15793976331423137</v>
      </c>
      <c r="K28" s="37">
        <f t="shared" si="0"/>
        <v>3.9374999999999993E-2</v>
      </c>
      <c r="L28" s="34">
        <v>0.06</v>
      </c>
      <c r="M28" s="27">
        <f t="shared" si="5"/>
        <v>3.1118299999999998E-2</v>
      </c>
      <c r="N28" s="37">
        <f t="shared" si="6"/>
        <v>3.3618299999999997E-2</v>
      </c>
      <c r="P28" s="37">
        <f>IF('Cap Pricer'!$G$27=DataValidation!$B$2,'Vols - Forward Curve'!I28,IF('Cap Pricer'!$G$27=DataValidation!$B$3,'Vols - Forward Curve'!H28,IF('Cap Pricer'!$G$27=DataValidation!$B$4,'Vols - Forward Curve'!D28,IF('Cap Pricer'!$G$27=DataValidation!$B$5,'Vols - Forward Curve'!G28,IF('Cap Pricer'!$G$27=DataValidation!$B$6,'Vols - Forward Curve'!F28,IF('Cap Pricer'!$G$27=DataValidation!$B$8,'Vols - Forward Curve'!K28,IF('Cap Pricer'!$G$27=DataValidation!$B$9,'Vols - Forward Curve'!L28,IF('Cap Pricer'!$G$27=DataValidation!$B$10,'Vols - Forward Curve'!M28,IF('Cap Pricer'!$G$27=DataValidation!$B$11,'Vols - Forward Curve'!N28,"")))))))))</f>
        <v>2.8618299999999999E-2</v>
      </c>
      <c r="S28" s="177">
        <f t="shared" si="7"/>
        <v>45800</v>
      </c>
      <c r="T28" s="172">
        <v>3.9374999999999993E-2</v>
      </c>
    </row>
    <row r="29" spans="1:20">
      <c r="A29" s="33">
        <f>Volatilities_Resets!C31</f>
        <v>45831</v>
      </c>
      <c r="B29" s="130">
        <f>Volatilities_Resets!AC31/100</f>
        <v>1.5233000000000001</v>
      </c>
      <c r="C29" s="37"/>
      <c r="D29" s="130">
        <f>Volatilities_Resets!E31/100</f>
        <v>2.8614899999999999E-2</v>
      </c>
      <c r="E29" s="34"/>
      <c r="F29" s="37">
        <f t="shared" si="1"/>
        <v>-0.1031975212129584</v>
      </c>
      <c r="G29" s="37">
        <f t="shared" si="2"/>
        <v>-3.7291310606479201E-2</v>
      </c>
      <c r="H29" s="37">
        <f t="shared" si="3"/>
        <v>9.4521110606479192E-2</v>
      </c>
      <c r="I29" s="37">
        <f t="shared" si="4"/>
        <v>0.16042732121295838</v>
      </c>
      <c r="K29" s="37">
        <f t="shared" si="0"/>
        <v>3.875E-2</v>
      </c>
      <c r="L29" s="34">
        <v>0.06</v>
      </c>
      <c r="M29" s="27">
        <f t="shared" si="5"/>
        <v>3.1114899999999997E-2</v>
      </c>
      <c r="N29" s="37">
        <f t="shared" si="6"/>
        <v>3.3614899999999996E-2</v>
      </c>
      <c r="P29" s="37">
        <f>IF('Cap Pricer'!$G$27=DataValidation!$B$2,'Vols - Forward Curve'!I29,IF('Cap Pricer'!$G$27=DataValidation!$B$3,'Vols - Forward Curve'!H29,IF('Cap Pricer'!$G$27=DataValidation!$B$4,'Vols - Forward Curve'!D29,IF('Cap Pricer'!$G$27=DataValidation!$B$5,'Vols - Forward Curve'!G29,IF('Cap Pricer'!$G$27=DataValidation!$B$6,'Vols - Forward Curve'!F29,IF('Cap Pricer'!$G$27=DataValidation!$B$8,'Vols - Forward Curve'!K29,IF('Cap Pricer'!$G$27=DataValidation!$B$9,'Vols - Forward Curve'!L29,IF('Cap Pricer'!$G$27=DataValidation!$B$10,'Vols - Forward Curve'!M29,IF('Cap Pricer'!$G$27=DataValidation!$B$11,'Vols - Forward Curve'!N29,"")))))))))</f>
        <v>2.8614899999999999E-2</v>
      </c>
      <c r="S29" s="177">
        <f t="shared" si="7"/>
        <v>45831</v>
      </c>
      <c r="T29" s="172">
        <v>3.875E-2</v>
      </c>
    </row>
    <row r="30" spans="1:20">
      <c r="A30" s="33">
        <f>Volatilities_Resets!C32</f>
        <v>45861</v>
      </c>
      <c r="B30" s="130">
        <f>Volatilities_Resets!AC32/100</f>
        <v>1.5233000000000001</v>
      </c>
      <c r="C30" s="37"/>
      <c r="D30" s="130">
        <f>Volatilities_Resets!E32/100</f>
        <v>2.8616000000000003E-2</v>
      </c>
      <c r="E30" s="34"/>
      <c r="F30" s="37">
        <f t="shared" si="1"/>
        <v>-0.10558249028001249</v>
      </c>
      <c r="G30" s="37">
        <f t="shared" si="2"/>
        <v>-3.8483245140006242E-2</v>
      </c>
      <c r="H30" s="37">
        <f t="shared" si="3"/>
        <v>9.5715245140006247E-2</v>
      </c>
      <c r="I30" s="37">
        <f t="shared" si="4"/>
        <v>0.16281449028001249</v>
      </c>
      <c r="K30" s="37">
        <f t="shared" si="0"/>
        <v>3.7916666666666668E-2</v>
      </c>
      <c r="L30" s="34">
        <v>0.06</v>
      </c>
      <c r="M30" s="27">
        <f t="shared" si="5"/>
        <v>3.1116000000000001E-2</v>
      </c>
      <c r="N30" s="37">
        <f t="shared" si="6"/>
        <v>3.3616E-2</v>
      </c>
      <c r="P30" s="37">
        <f>IF('Cap Pricer'!$G$27=DataValidation!$B$2,'Vols - Forward Curve'!I30,IF('Cap Pricer'!$G$27=DataValidation!$B$3,'Vols - Forward Curve'!H30,IF('Cap Pricer'!$G$27=DataValidation!$B$4,'Vols - Forward Curve'!D30,IF('Cap Pricer'!$G$27=DataValidation!$B$5,'Vols - Forward Curve'!G30,IF('Cap Pricer'!$G$27=DataValidation!$B$6,'Vols - Forward Curve'!F30,IF('Cap Pricer'!$G$27=DataValidation!$B$8,'Vols - Forward Curve'!K30,IF('Cap Pricer'!$G$27=DataValidation!$B$9,'Vols - Forward Curve'!L30,IF('Cap Pricer'!$G$27=DataValidation!$B$10,'Vols - Forward Curve'!M30,IF('Cap Pricer'!$G$27=DataValidation!$B$11,'Vols - Forward Curve'!N30,"")))))))))</f>
        <v>2.8616000000000003E-2</v>
      </c>
      <c r="S30" s="177">
        <f t="shared" si="7"/>
        <v>45861</v>
      </c>
      <c r="T30" s="172">
        <v>3.7916666666666668E-2</v>
      </c>
    </row>
    <row r="31" spans="1:20">
      <c r="A31" s="33">
        <f>Volatilities_Resets!C33</f>
        <v>45892</v>
      </c>
      <c r="B31" s="130">
        <f>Volatilities_Resets!AC33/100</f>
        <v>1.5231999999999999</v>
      </c>
      <c r="C31" s="37"/>
      <c r="D31" s="130">
        <f>Volatilities_Resets!E33/100</f>
        <v>2.8618299999999999E-2</v>
      </c>
      <c r="E31" s="34"/>
      <c r="F31" s="37">
        <f t="shared" si="1"/>
        <v>-0.10799898200593674</v>
      </c>
      <c r="G31" s="37">
        <f t="shared" si="2"/>
        <v>-3.9690341002968373E-2</v>
      </c>
      <c r="H31" s="37">
        <f t="shared" si="3"/>
        <v>9.6926941002968364E-2</v>
      </c>
      <c r="I31" s="37">
        <f t="shared" si="4"/>
        <v>0.16523558200593674</v>
      </c>
      <c r="K31" s="37">
        <f t="shared" si="0"/>
        <v>3.7083333333333336E-2</v>
      </c>
      <c r="L31" s="34">
        <v>0.06</v>
      </c>
      <c r="M31" s="27">
        <f t="shared" si="5"/>
        <v>3.1118299999999998E-2</v>
      </c>
      <c r="N31" s="37">
        <f t="shared" si="6"/>
        <v>3.3618299999999997E-2</v>
      </c>
      <c r="P31" s="37">
        <f>IF('Cap Pricer'!$G$27=DataValidation!$B$2,'Vols - Forward Curve'!I31,IF('Cap Pricer'!$G$27=DataValidation!$B$3,'Vols - Forward Curve'!H31,IF('Cap Pricer'!$G$27=DataValidation!$B$4,'Vols - Forward Curve'!D31,IF('Cap Pricer'!$G$27=DataValidation!$B$5,'Vols - Forward Curve'!G31,IF('Cap Pricer'!$G$27=DataValidation!$B$6,'Vols - Forward Curve'!F31,IF('Cap Pricer'!$G$27=DataValidation!$B$8,'Vols - Forward Curve'!K31,IF('Cap Pricer'!$G$27=DataValidation!$B$9,'Vols - Forward Curve'!L31,IF('Cap Pricer'!$G$27=DataValidation!$B$10,'Vols - Forward Curve'!M31,IF('Cap Pricer'!$G$27=DataValidation!$B$11,'Vols - Forward Curve'!N31,"")))))))))</f>
        <v>2.8618299999999999E-2</v>
      </c>
      <c r="S31" s="177">
        <f t="shared" si="7"/>
        <v>45892</v>
      </c>
      <c r="T31" s="172">
        <v>3.7083333333333336E-2</v>
      </c>
    </row>
    <row r="32" spans="1:20">
      <c r="A32" s="33">
        <f>Volatilities_Resets!C34</f>
        <v>45923</v>
      </c>
      <c r="B32" s="130">
        <f>Volatilities_Resets!AC34/100</f>
        <v>1.5233000000000001</v>
      </c>
      <c r="C32" s="37"/>
      <c r="D32" s="130">
        <f>Volatilities_Resets!E34/100</f>
        <v>2.8617199999999999E-2</v>
      </c>
      <c r="E32" s="34"/>
      <c r="F32" s="37">
        <f t="shared" si="1"/>
        <v>-0.1103786626100938</v>
      </c>
      <c r="G32" s="37">
        <f t="shared" si="2"/>
        <v>-4.0880731305046901E-2</v>
      </c>
      <c r="H32" s="37">
        <f t="shared" si="3"/>
        <v>9.8115131305046899E-2</v>
      </c>
      <c r="I32" s="37">
        <f t="shared" si="4"/>
        <v>0.16761306261009379</v>
      </c>
      <c r="K32" s="37">
        <f t="shared" si="0"/>
        <v>3.6250000000000004E-2</v>
      </c>
      <c r="L32" s="34">
        <v>0.06</v>
      </c>
      <c r="M32" s="27">
        <f t="shared" si="5"/>
        <v>3.1117199999999998E-2</v>
      </c>
      <c r="N32" s="37">
        <f t="shared" si="6"/>
        <v>3.36172E-2</v>
      </c>
      <c r="P32" s="37">
        <f>IF('Cap Pricer'!$G$27=DataValidation!$B$2,'Vols - Forward Curve'!I32,IF('Cap Pricer'!$G$27=DataValidation!$B$3,'Vols - Forward Curve'!H32,IF('Cap Pricer'!$G$27=DataValidation!$B$4,'Vols - Forward Curve'!D32,IF('Cap Pricer'!$G$27=DataValidation!$B$5,'Vols - Forward Curve'!G32,IF('Cap Pricer'!$G$27=DataValidation!$B$6,'Vols - Forward Curve'!F32,IF('Cap Pricer'!$G$27=DataValidation!$B$8,'Vols - Forward Curve'!K32,IF('Cap Pricer'!$G$27=DataValidation!$B$9,'Vols - Forward Curve'!L32,IF('Cap Pricer'!$G$27=DataValidation!$B$10,'Vols - Forward Curve'!M32,IF('Cap Pricer'!$G$27=DataValidation!$B$11,'Vols - Forward Curve'!N32,"")))))))))</f>
        <v>2.8617199999999999E-2</v>
      </c>
      <c r="S32" s="177">
        <f t="shared" si="7"/>
        <v>45923</v>
      </c>
      <c r="T32" s="172">
        <v>3.6250000000000004E-2</v>
      </c>
    </row>
    <row r="33" spans="1:20">
      <c r="A33" s="33">
        <f>Volatilities_Resets!C35</f>
        <v>45953</v>
      </c>
      <c r="B33" s="130">
        <f>Volatilities_Resets!AC35/100</f>
        <v>1.5231999999999999</v>
      </c>
      <c r="C33" s="37"/>
      <c r="D33" s="130">
        <f>Volatilities_Resets!E35/100</f>
        <v>2.8617199999999999E-2</v>
      </c>
      <c r="E33" s="34"/>
      <c r="F33" s="37">
        <f t="shared" si="1"/>
        <v>-0.11262963310734597</v>
      </c>
      <c r="G33" s="37">
        <f t="shared" si="2"/>
        <v>-4.2006216553672988E-2</v>
      </c>
      <c r="H33" s="37">
        <f t="shared" si="3"/>
        <v>9.9240616553672986E-2</v>
      </c>
      <c r="I33" s="37">
        <f t="shared" si="4"/>
        <v>0.16986403310734596</v>
      </c>
      <c r="K33" s="37">
        <f t="shared" si="0"/>
        <v>3.5416666666666673E-2</v>
      </c>
      <c r="L33" s="34">
        <v>0.06</v>
      </c>
      <c r="M33" s="27">
        <f t="shared" si="5"/>
        <v>3.1117199999999998E-2</v>
      </c>
      <c r="N33" s="37">
        <f t="shared" si="6"/>
        <v>3.36172E-2</v>
      </c>
      <c r="P33" s="37">
        <f>IF('Cap Pricer'!$G$27=DataValidation!$B$2,'Vols - Forward Curve'!I33,IF('Cap Pricer'!$G$27=DataValidation!$B$3,'Vols - Forward Curve'!H33,IF('Cap Pricer'!$G$27=DataValidation!$B$4,'Vols - Forward Curve'!D33,IF('Cap Pricer'!$G$27=DataValidation!$B$5,'Vols - Forward Curve'!G33,IF('Cap Pricer'!$G$27=DataValidation!$B$6,'Vols - Forward Curve'!F33,IF('Cap Pricer'!$G$27=DataValidation!$B$8,'Vols - Forward Curve'!K33,IF('Cap Pricer'!$G$27=DataValidation!$B$9,'Vols - Forward Curve'!L33,IF('Cap Pricer'!$G$27=DataValidation!$B$10,'Vols - Forward Curve'!M33,IF('Cap Pricer'!$G$27=DataValidation!$B$11,'Vols - Forward Curve'!N33,"")))))))))</f>
        <v>2.8617199999999999E-2</v>
      </c>
      <c r="S33" s="177">
        <f t="shared" si="7"/>
        <v>45953</v>
      </c>
      <c r="T33" s="172">
        <v>3.5416666666666673E-2</v>
      </c>
    </row>
    <row r="34" spans="1:20">
      <c r="A34" s="33">
        <f>Volatilities_Resets!C36</f>
        <v>45984</v>
      </c>
      <c r="B34" s="130">
        <f>Volatilities_Resets!AC36/100</f>
        <v>1.5231999999999999</v>
      </c>
      <c r="C34" s="37"/>
      <c r="D34" s="130">
        <f>Volatilities_Resets!E36/100</f>
        <v>2.8614899999999999E-2</v>
      </c>
      <c r="E34" s="34"/>
      <c r="F34" s="37">
        <f t="shared" si="1"/>
        <v>-0.11491844883759764</v>
      </c>
      <c r="G34" s="37">
        <f t="shared" si="2"/>
        <v>-4.3151774418798819E-2</v>
      </c>
      <c r="H34" s="37">
        <f t="shared" si="3"/>
        <v>0.10038157441879882</v>
      </c>
      <c r="I34" s="37">
        <f t="shared" si="4"/>
        <v>0.17214824883759763</v>
      </c>
      <c r="K34" s="37">
        <f t="shared" ref="K34:K65" si="8">VLOOKUP(A34,$S$2:$T$134,2,FALSE)</f>
        <v>3.4583333333333341E-2</v>
      </c>
      <c r="L34" s="34">
        <v>0.06</v>
      </c>
      <c r="M34" s="27">
        <f t="shared" si="5"/>
        <v>3.1114899999999997E-2</v>
      </c>
      <c r="N34" s="37">
        <f t="shared" si="6"/>
        <v>3.3614899999999996E-2</v>
      </c>
      <c r="P34" s="37">
        <f>IF('Cap Pricer'!$G$27=DataValidation!$B$2,'Vols - Forward Curve'!I34,IF('Cap Pricer'!$G$27=DataValidation!$B$3,'Vols - Forward Curve'!H34,IF('Cap Pricer'!$G$27=DataValidation!$B$4,'Vols - Forward Curve'!D34,IF('Cap Pricer'!$G$27=DataValidation!$B$5,'Vols - Forward Curve'!G34,IF('Cap Pricer'!$G$27=DataValidation!$B$6,'Vols - Forward Curve'!F34,IF('Cap Pricer'!$G$27=DataValidation!$B$8,'Vols - Forward Curve'!K34,IF('Cap Pricer'!$G$27=DataValidation!$B$9,'Vols - Forward Curve'!L34,IF('Cap Pricer'!$G$27=DataValidation!$B$10,'Vols - Forward Curve'!M34,IF('Cap Pricer'!$G$27=DataValidation!$B$11,'Vols - Forward Curve'!N34,"")))))))))</f>
        <v>2.8614899999999999E-2</v>
      </c>
      <c r="S34" s="177">
        <f t="shared" si="7"/>
        <v>45984</v>
      </c>
      <c r="T34" s="172">
        <v>3.4583333333333341E-2</v>
      </c>
    </row>
    <row r="35" spans="1:20">
      <c r="A35" s="33">
        <f>Volatilities_Resets!C37</f>
        <v>46014</v>
      </c>
      <c r="B35" s="130">
        <f>Volatilities_Resets!AC37/100</f>
        <v>1.5231999999999999</v>
      </c>
      <c r="C35" s="37"/>
      <c r="D35" s="130">
        <f>Volatilities_Resets!E37/100</f>
        <v>2.8616000000000003E-2</v>
      </c>
      <c r="E35" s="34"/>
      <c r="F35" s="37">
        <f t="shared" si="1"/>
        <v>-0.11711219771442906</v>
      </c>
      <c r="G35" s="37">
        <f t="shared" si="2"/>
        <v>-4.4248098857214528E-2</v>
      </c>
      <c r="H35" s="37">
        <f t="shared" si="3"/>
        <v>0.10148009885721453</v>
      </c>
      <c r="I35" s="37">
        <f t="shared" si="4"/>
        <v>0.17434419771442905</v>
      </c>
      <c r="K35" s="37">
        <f t="shared" si="8"/>
        <v>3.3750000000000009E-2</v>
      </c>
      <c r="L35" s="34">
        <v>0.06</v>
      </c>
      <c r="M35" s="27">
        <f t="shared" si="5"/>
        <v>3.1116000000000001E-2</v>
      </c>
      <c r="N35" s="37">
        <f t="shared" si="6"/>
        <v>3.3616E-2</v>
      </c>
      <c r="P35" s="37">
        <f>IF('Cap Pricer'!$G$27=DataValidation!$B$2,'Vols - Forward Curve'!I35,IF('Cap Pricer'!$G$27=DataValidation!$B$3,'Vols - Forward Curve'!H35,IF('Cap Pricer'!$G$27=DataValidation!$B$4,'Vols - Forward Curve'!D35,IF('Cap Pricer'!$G$27=DataValidation!$B$5,'Vols - Forward Curve'!G35,IF('Cap Pricer'!$G$27=DataValidation!$B$6,'Vols - Forward Curve'!F35,IF('Cap Pricer'!$G$27=DataValidation!$B$8,'Vols - Forward Curve'!K35,IF('Cap Pricer'!$G$27=DataValidation!$B$9,'Vols - Forward Curve'!L35,IF('Cap Pricer'!$G$27=DataValidation!$B$10,'Vols - Forward Curve'!M35,IF('Cap Pricer'!$G$27=DataValidation!$B$11,'Vols - Forward Curve'!N35,"")))))))))</f>
        <v>2.8616000000000003E-2</v>
      </c>
      <c r="S35" s="177">
        <f t="shared" si="7"/>
        <v>46014</v>
      </c>
      <c r="T35" s="172">
        <v>3.3750000000000009E-2</v>
      </c>
    </row>
    <row r="36" spans="1:20">
      <c r="A36" s="33">
        <f>Volatilities_Resets!C38</f>
        <v>46045</v>
      </c>
      <c r="B36" s="130">
        <f>Volatilities_Resets!AC38/100</f>
        <v>1.4798</v>
      </c>
      <c r="C36" s="37"/>
      <c r="D36" s="130">
        <f>Volatilities_Resets!E38/100</f>
        <v>2.8616000000000003E-2</v>
      </c>
      <c r="E36" s="34"/>
      <c r="F36" s="37">
        <f t="shared" si="1"/>
        <v>-0.11512480528769069</v>
      </c>
      <c r="G36" s="37">
        <f t="shared" si="2"/>
        <v>-4.3254402643845342E-2</v>
      </c>
      <c r="H36" s="37">
        <f t="shared" si="3"/>
        <v>0.10048640264384535</v>
      </c>
      <c r="I36" s="37">
        <f t="shared" si="4"/>
        <v>0.17235680528769071</v>
      </c>
      <c r="K36" s="37">
        <f t="shared" si="8"/>
        <v>3.2916666666666677E-2</v>
      </c>
      <c r="L36" s="34">
        <v>0.06</v>
      </c>
      <c r="M36" s="27">
        <f t="shared" si="5"/>
        <v>3.1116000000000001E-2</v>
      </c>
      <c r="N36" s="37">
        <f t="shared" si="6"/>
        <v>3.3616E-2</v>
      </c>
      <c r="P36" s="37">
        <f>IF('Cap Pricer'!$G$27=DataValidation!$B$2,'Vols - Forward Curve'!I36,IF('Cap Pricer'!$G$27=DataValidation!$B$3,'Vols - Forward Curve'!H36,IF('Cap Pricer'!$G$27=DataValidation!$B$4,'Vols - Forward Curve'!D36,IF('Cap Pricer'!$G$27=DataValidation!$B$5,'Vols - Forward Curve'!G36,IF('Cap Pricer'!$G$27=DataValidation!$B$6,'Vols - Forward Curve'!F36,IF('Cap Pricer'!$G$27=DataValidation!$B$8,'Vols - Forward Curve'!K36,IF('Cap Pricer'!$G$27=DataValidation!$B$9,'Vols - Forward Curve'!L36,IF('Cap Pricer'!$G$27=DataValidation!$B$10,'Vols - Forward Curve'!M36,IF('Cap Pricer'!$G$27=DataValidation!$B$11,'Vols - Forward Curve'!N36,"")))))))))</f>
        <v>2.8616000000000003E-2</v>
      </c>
      <c r="S36" s="177">
        <f t="shared" si="7"/>
        <v>46045</v>
      </c>
      <c r="T36" s="172">
        <v>3.2916666666666677E-2</v>
      </c>
    </row>
    <row r="37" spans="1:20">
      <c r="A37" s="33">
        <f>Volatilities_Resets!C39</f>
        <v>46076</v>
      </c>
      <c r="B37" s="130">
        <f>Volatilities_Resets!AC39/100</f>
        <v>1.4336000000000002</v>
      </c>
      <c r="C37" s="37"/>
      <c r="D37" s="130">
        <f>Volatilities_Resets!E39/100</f>
        <v>2.8612600000000002E-2</v>
      </c>
      <c r="E37" s="34"/>
      <c r="F37" s="37">
        <f t="shared" si="1"/>
        <v>-0.11268984852293827</v>
      </c>
      <c r="G37" s="37">
        <f t="shared" si="2"/>
        <v>-4.2038624261469135E-2</v>
      </c>
      <c r="H37" s="37">
        <f t="shared" si="3"/>
        <v>9.9263824261469139E-2</v>
      </c>
      <c r="I37" s="37">
        <f t="shared" si="4"/>
        <v>0.16991504852293829</v>
      </c>
      <c r="K37" s="37">
        <f t="shared" si="8"/>
        <v>3.2083333333333346E-2</v>
      </c>
      <c r="L37" s="34">
        <v>0.06</v>
      </c>
      <c r="M37" s="27">
        <f t="shared" si="5"/>
        <v>3.1112600000000001E-2</v>
      </c>
      <c r="N37" s="37">
        <f t="shared" si="6"/>
        <v>3.3612599999999999E-2</v>
      </c>
      <c r="P37" s="37">
        <f>IF('Cap Pricer'!$G$27=DataValidation!$B$2,'Vols - Forward Curve'!I37,IF('Cap Pricer'!$G$27=DataValidation!$B$3,'Vols - Forward Curve'!H37,IF('Cap Pricer'!$G$27=DataValidation!$B$4,'Vols - Forward Curve'!D37,IF('Cap Pricer'!$G$27=DataValidation!$B$5,'Vols - Forward Curve'!G37,IF('Cap Pricer'!$G$27=DataValidation!$B$6,'Vols - Forward Curve'!F37,IF('Cap Pricer'!$G$27=DataValidation!$B$8,'Vols - Forward Curve'!K37,IF('Cap Pricer'!$G$27=DataValidation!$B$9,'Vols - Forward Curve'!L37,IF('Cap Pricer'!$G$27=DataValidation!$B$10,'Vols - Forward Curve'!M37,IF('Cap Pricer'!$G$27=DataValidation!$B$11,'Vols - Forward Curve'!N37,"")))))))))</f>
        <v>2.8612600000000002E-2</v>
      </c>
      <c r="S37" s="177">
        <f t="shared" si="7"/>
        <v>46076</v>
      </c>
      <c r="T37" s="172">
        <v>3.2083333333333346E-2</v>
      </c>
    </row>
    <row r="38" spans="1:20">
      <c r="A38" s="33">
        <f>Volatilities_Resets!C40</f>
        <v>46104</v>
      </c>
      <c r="B38" s="130">
        <f>Volatilities_Resets!AC40/100</f>
        <v>1.3973</v>
      </c>
      <c r="C38" s="37"/>
      <c r="D38" s="130">
        <f>Volatilities_Resets!E40/100</f>
        <v>2.8274499999999998E-2</v>
      </c>
      <c r="E38" s="34"/>
      <c r="F38" s="37">
        <f t="shared" si="1"/>
        <v>-0.10959513159661011</v>
      </c>
      <c r="G38" s="37">
        <f t="shared" si="2"/>
        <v>-4.0660315798305056E-2</v>
      </c>
      <c r="H38" s="37">
        <f t="shared" si="3"/>
        <v>9.7209315798305052E-2</v>
      </c>
      <c r="I38" s="37">
        <f t="shared" si="4"/>
        <v>0.1661441315966101</v>
      </c>
      <c r="K38" s="37">
        <f t="shared" si="8"/>
        <v>3.1250000000000014E-2</v>
      </c>
      <c r="L38" s="34">
        <v>0.06</v>
      </c>
      <c r="M38" s="27">
        <f t="shared" si="5"/>
        <v>3.0774499999999996E-2</v>
      </c>
      <c r="N38" s="37">
        <f t="shared" si="6"/>
        <v>3.3274499999999999E-2</v>
      </c>
      <c r="P38" s="37">
        <f>IF('Cap Pricer'!$G$27=DataValidation!$B$2,'Vols - Forward Curve'!I38,IF('Cap Pricer'!$G$27=DataValidation!$B$3,'Vols - Forward Curve'!H38,IF('Cap Pricer'!$G$27=DataValidation!$B$4,'Vols - Forward Curve'!D38,IF('Cap Pricer'!$G$27=DataValidation!$B$5,'Vols - Forward Curve'!G38,IF('Cap Pricer'!$G$27=DataValidation!$B$6,'Vols - Forward Curve'!F38,IF('Cap Pricer'!$G$27=DataValidation!$B$8,'Vols - Forward Curve'!K38,IF('Cap Pricer'!$G$27=DataValidation!$B$9,'Vols - Forward Curve'!L38,IF('Cap Pricer'!$G$27=DataValidation!$B$10,'Vols - Forward Curve'!M38,IF('Cap Pricer'!$G$27=DataValidation!$B$11,'Vols - Forward Curve'!N38,"")))))))))</f>
        <v>2.8274499999999998E-2</v>
      </c>
      <c r="S38" s="177">
        <f t="shared" si="7"/>
        <v>46104</v>
      </c>
      <c r="T38" s="172">
        <v>3.1250000000000014E-2</v>
      </c>
    </row>
    <row r="39" spans="1:20">
      <c r="A39" s="33">
        <f>Volatilities_Resets!C41</f>
        <v>46135</v>
      </c>
      <c r="B39" s="130">
        <f>Volatilities_Resets!AC41/100</f>
        <v>1.3973</v>
      </c>
      <c r="C39" s="37"/>
      <c r="D39" s="130">
        <f>Volatilities_Resets!E41/100</f>
        <v>2.8194799999999999E-2</v>
      </c>
      <c r="E39" s="34"/>
      <c r="F39" s="37">
        <f t="shared" si="1"/>
        <v>-0.11121695057841904</v>
      </c>
      <c r="G39" s="37">
        <f t="shared" si="2"/>
        <v>-4.1511075289209526E-2</v>
      </c>
      <c r="H39" s="37">
        <f t="shared" si="3"/>
        <v>9.7900675289209524E-2</v>
      </c>
      <c r="I39" s="37">
        <f t="shared" si="4"/>
        <v>0.16760655057841906</v>
      </c>
      <c r="K39" s="37">
        <f t="shared" si="8"/>
        <v>3.0416666666666682E-2</v>
      </c>
      <c r="L39" s="34">
        <v>0.06</v>
      </c>
      <c r="M39" s="27">
        <f t="shared" si="5"/>
        <v>3.0694799999999998E-2</v>
      </c>
      <c r="N39" s="37">
        <f t="shared" si="6"/>
        <v>3.3194799999999997E-2</v>
      </c>
      <c r="P39" s="37">
        <f>IF('Cap Pricer'!$G$27=DataValidation!$B$2,'Vols - Forward Curve'!I39,IF('Cap Pricer'!$G$27=DataValidation!$B$3,'Vols - Forward Curve'!H39,IF('Cap Pricer'!$G$27=DataValidation!$B$4,'Vols - Forward Curve'!D39,IF('Cap Pricer'!$G$27=DataValidation!$B$5,'Vols - Forward Curve'!G39,IF('Cap Pricer'!$G$27=DataValidation!$B$6,'Vols - Forward Curve'!F39,IF('Cap Pricer'!$G$27=DataValidation!$B$8,'Vols - Forward Curve'!K39,IF('Cap Pricer'!$G$27=DataValidation!$B$9,'Vols - Forward Curve'!L39,IF('Cap Pricer'!$G$27=DataValidation!$B$10,'Vols - Forward Curve'!M39,IF('Cap Pricer'!$G$27=DataValidation!$B$11,'Vols - Forward Curve'!N39,"")))))))))</f>
        <v>2.8194799999999999E-2</v>
      </c>
      <c r="S39" s="177">
        <f t="shared" si="7"/>
        <v>46135</v>
      </c>
      <c r="T39" s="172">
        <v>3.0416666666666682E-2</v>
      </c>
    </row>
    <row r="40" spans="1:20">
      <c r="A40" s="33">
        <f>Volatilities_Resets!C42</f>
        <v>46165</v>
      </c>
      <c r="B40" s="130">
        <f>Volatilities_Resets!AC42/100</f>
        <v>1.3973</v>
      </c>
      <c r="C40" s="37"/>
      <c r="D40" s="130">
        <f>Volatilities_Resets!E42/100</f>
        <v>2.8197E-2</v>
      </c>
      <c r="E40" s="34"/>
      <c r="F40" s="37">
        <f t="shared" si="1"/>
        <v>-0.11306911059641274</v>
      </c>
      <c r="G40" s="37">
        <f t="shared" si="2"/>
        <v>-4.243605529820637E-2</v>
      </c>
      <c r="H40" s="37">
        <f t="shared" si="3"/>
        <v>9.8830055298206362E-2</v>
      </c>
      <c r="I40" s="37">
        <f t="shared" si="4"/>
        <v>0.16946311059641272</v>
      </c>
      <c r="K40" s="37">
        <f t="shared" si="8"/>
        <v>2.958333333333335E-2</v>
      </c>
      <c r="L40" s="34">
        <v>0.06</v>
      </c>
      <c r="M40" s="27">
        <f t="shared" si="5"/>
        <v>3.0696999999999999E-2</v>
      </c>
      <c r="N40" s="37">
        <f t="shared" si="6"/>
        <v>3.3196999999999997E-2</v>
      </c>
      <c r="P40" s="37">
        <f>IF('Cap Pricer'!$G$27=DataValidation!$B$2,'Vols - Forward Curve'!I40,IF('Cap Pricer'!$G$27=DataValidation!$B$3,'Vols - Forward Curve'!H40,IF('Cap Pricer'!$G$27=DataValidation!$B$4,'Vols - Forward Curve'!D40,IF('Cap Pricer'!$G$27=DataValidation!$B$5,'Vols - Forward Curve'!G40,IF('Cap Pricer'!$G$27=DataValidation!$B$6,'Vols - Forward Curve'!F40,IF('Cap Pricer'!$G$27=DataValidation!$B$8,'Vols - Forward Curve'!K40,IF('Cap Pricer'!$G$27=DataValidation!$B$9,'Vols - Forward Curve'!L40,IF('Cap Pricer'!$G$27=DataValidation!$B$10,'Vols - Forward Curve'!M40,IF('Cap Pricer'!$G$27=DataValidation!$B$11,'Vols - Forward Curve'!N40,"")))))))))</f>
        <v>2.8197E-2</v>
      </c>
      <c r="S40" s="177">
        <f t="shared" si="7"/>
        <v>46165</v>
      </c>
      <c r="T40" s="172">
        <v>2.958333333333335E-2</v>
      </c>
    </row>
    <row r="41" spans="1:20">
      <c r="A41" s="33">
        <f>Volatilities_Resets!C43</f>
        <v>46196</v>
      </c>
      <c r="B41" s="130">
        <f>Volatilities_Resets!AC43/100</f>
        <v>1.3973</v>
      </c>
      <c r="C41" s="37"/>
      <c r="D41" s="130">
        <f>Volatilities_Resets!E43/100</f>
        <v>2.8197E-2</v>
      </c>
      <c r="E41" s="34"/>
      <c r="F41" s="37">
        <f t="shared" si="1"/>
        <v>-0.11494910288914637</v>
      </c>
      <c r="G41" s="37">
        <f t="shared" si="2"/>
        <v>-4.3376051444573183E-2</v>
      </c>
      <c r="H41" s="37">
        <f t="shared" si="3"/>
        <v>9.9770051444573182E-2</v>
      </c>
      <c r="I41" s="37">
        <f t="shared" si="4"/>
        <v>0.17134310288914636</v>
      </c>
      <c r="K41" s="37">
        <f t="shared" si="8"/>
        <v>2.8750000000000001E-2</v>
      </c>
      <c r="L41" s="34">
        <v>0.06</v>
      </c>
      <c r="M41" s="27">
        <f t="shared" si="5"/>
        <v>3.0696999999999999E-2</v>
      </c>
      <c r="N41" s="37">
        <f t="shared" si="6"/>
        <v>3.3196999999999997E-2</v>
      </c>
      <c r="P41" s="37">
        <f>IF('Cap Pricer'!$G$27=DataValidation!$B$2,'Vols - Forward Curve'!I41,IF('Cap Pricer'!$G$27=DataValidation!$B$3,'Vols - Forward Curve'!H41,IF('Cap Pricer'!$G$27=DataValidation!$B$4,'Vols - Forward Curve'!D41,IF('Cap Pricer'!$G$27=DataValidation!$B$5,'Vols - Forward Curve'!G41,IF('Cap Pricer'!$G$27=DataValidation!$B$6,'Vols - Forward Curve'!F41,IF('Cap Pricer'!$G$27=DataValidation!$B$8,'Vols - Forward Curve'!K41,IF('Cap Pricer'!$G$27=DataValidation!$B$9,'Vols - Forward Curve'!L41,IF('Cap Pricer'!$G$27=DataValidation!$B$10,'Vols - Forward Curve'!M41,IF('Cap Pricer'!$G$27=DataValidation!$B$11,'Vols - Forward Curve'!N41,"")))))))))</f>
        <v>2.8197E-2</v>
      </c>
      <c r="S41" s="177">
        <f t="shared" si="7"/>
        <v>46196</v>
      </c>
      <c r="T41" s="172">
        <v>2.8750000000000001E-2</v>
      </c>
    </row>
    <row r="42" spans="1:20">
      <c r="A42" s="33">
        <f>Volatilities_Resets!C44</f>
        <v>46226</v>
      </c>
      <c r="B42" s="130">
        <f>Volatilities_Resets!AC44/100</f>
        <v>1.3973</v>
      </c>
      <c r="C42" s="37"/>
      <c r="D42" s="130">
        <f>Volatilities_Resets!E44/100</f>
        <v>2.8195899999999999E-2</v>
      </c>
      <c r="E42" s="34"/>
      <c r="F42" s="37">
        <f t="shared" si="1"/>
        <v>-0.11674068028190733</v>
      </c>
      <c r="G42" s="37">
        <f t="shared" si="2"/>
        <v>-4.4272390140953667E-2</v>
      </c>
      <c r="H42" s="37">
        <f t="shared" si="3"/>
        <v>0.10066419014095367</v>
      </c>
      <c r="I42" s="37">
        <f t="shared" si="4"/>
        <v>0.17313248028190734</v>
      </c>
      <c r="K42" s="37">
        <f t="shared" si="8"/>
        <v>2.8437500000000001E-2</v>
      </c>
      <c r="L42" s="34">
        <v>0.06</v>
      </c>
      <c r="M42" s="27">
        <f t="shared" si="5"/>
        <v>3.0695899999999998E-2</v>
      </c>
      <c r="N42" s="37">
        <f t="shared" si="6"/>
        <v>3.31959E-2</v>
      </c>
      <c r="P42" s="37">
        <f>IF('Cap Pricer'!$G$27=DataValidation!$B$2,'Vols - Forward Curve'!I42,IF('Cap Pricer'!$G$27=DataValidation!$B$3,'Vols - Forward Curve'!H42,IF('Cap Pricer'!$G$27=DataValidation!$B$4,'Vols - Forward Curve'!D42,IF('Cap Pricer'!$G$27=DataValidation!$B$5,'Vols - Forward Curve'!G42,IF('Cap Pricer'!$G$27=DataValidation!$B$6,'Vols - Forward Curve'!F42,IF('Cap Pricer'!$G$27=DataValidation!$B$8,'Vols - Forward Curve'!K42,IF('Cap Pricer'!$G$27=DataValidation!$B$9,'Vols - Forward Curve'!L42,IF('Cap Pricer'!$G$27=DataValidation!$B$10,'Vols - Forward Curve'!M42,IF('Cap Pricer'!$G$27=DataValidation!$B$11,'Vols - Forward Curve'!N42,"")))))))))</f>
        <v>2.8195899999999999E-2</v>
      </c>
      <c r="S42" s="177">
        <f t="shared" si="7"/>
        <v>46226</v>
      </c>
      <c r="T42" s="172">
        <v>2.8437500000000001E-2</v>
      </c>
    </row>
    <row r="43" spans="1:20">
      <c r="A43" s="33">
        <f>Volatilities_Resets!C45</f>
        <v>46257</v>
      </c>
      <c r="B43" s="130">
        <f>Volatilities_Resets!AC45/100</f>
        <v>1.3973</v>
      </c>
      <c r="C43" s="37"/>
      <c r="D43" s="130">
        <f>Volatilities_Resets!E45/100</f>
        <v>2.81981E-2</v>
      </c>
      <c r="E43" s="34"/>
      <c r="F43" s="37">
        <f t="shared" si="1"/>
        <v>-0.11858277417624069</v>
      </c>
      <c r="G43" s="37">
        <f t="shared" si="2"/>
        <v>-4.519233708812035E-2</v>
      </c>
      <c r="H43" s="37">
        <f t="shared" si="3"/>
        <v>0.10158853708812035</v>
      </c>
      <c r="I43" s="37">
        <f t="shared" si="4"/>
        <v>0.1749789741762407</v>
      </c>
      <c r="K43" s="37">
        <f t="shared" si="8"/>
        <v>2.8125000000000001E-2</v>
      </c>
      <c r="L43" s="34">
        <v>0.06</v>
      </c>
      <c r="M43" s="27">
        <f t="shared" si="5"/>
        <v>3.0698099999999999E-2</v>
      </c>
      <c r="N43" s="37">
        <f t="shared" si="6"/>
        <v>3.3198100000000001E-2</v>
      </c>
      <c r="P43" s="37">
        <f>IF('Cap Pricer'!$G$27=DataValidation!$B$2,'Vols - Forward Curve'!I43,IF('Cap Pricer'!$G$27=DataValidation!$B$3,'Vols - Forward Curve'!H43,IF('Cap Pricer'!$G$27=DataValidation!$B$4,'Vols - Forward Curve'!D43,IF('Cap Pricer'!$G$27=DataValidation!$B$5,'Vols - Forward Curve'!G43,IF('Cap Pricer'!$G$27=DataValidation!$B$6,'Vols - Forward Curve'!F43,IF('Cap Pricer'!$G$27=DataValidation!$B$8,'Vols - Forward Curve'!K43,IF('Cap Pricer'!$G$27=DataValidation!$B$9,'Vols - Forward Curve'!L43,IF('Cap Pricer'!$G$27=DataValidation!$B$10,'Vols - Forward Curve'!M43,IF('Cap Pricer'!$G$27=DataValidation!$B$11,'Vols - Forward Curve'!N43,"")))))))))</f>
        <v>2.81981E-2</v>
      </c>
      <c r="S43" s="177">
        <f t="shared" si="7"/>
        <v>46257</v>
      </c>
      <c r="T43" s="172">
        <v>2.8125000000000001E-2</v>
      </c>
    </row>
    <row r="44" spans="1:20">
      <c r="A44" s="33">
        <f>Volatilities_Resets!C46</f>
        <v>46288</v>
      </c>
      <c r="B44" s="130">
        <f>Volatilities_Resets!AC46/100</f>
        <v>1.3973</v>
      </c>
      <c r="C44" s="37"/>
      <c r="D44" s="130">
        <f>Volatilities_Resets!E46/100</f>
        <v>2.8195899999999999E-2</v>
      </c>
      <c r="E44" s="34"/>
      <c r="F44" s="37">
        <f t="shared" si="1"/>
        <v>-0.12038375677692485</v>
      </c>
      <c r="G44" s="37">
        <f t="shared" si="2"/>
        <v>-4.6093928388462428E-2</v>
      </c>
      <c r="H44" s="37">
        <f t="shared" si="3"/>
        <v>0.10248572838846243</v>
      </c>
      <c r="I44" s="37">
        <f t="shared" si="4"/>
        <v>0.17677555677692486</v>
      </c>
      <c r="K44" s="37">
        <f t="shared" si="8"/>
        <v>2.78125E-2</v>
      </c>
      <c r="L44" s="34">
        <v>0.06</v>
      </c>
      <c r="M44" s="27">
        <f t="shared" si="5"/>
        <v>3.0695899999999998E-2</v>
      </c>
      <c r="N44" s="37">
        <f t="shared" si="6"/>
        <v>3.31959E-2</v>
      </c>
      <c r="P44" s="37">
        <f>IF('Cap Pricer'!$G$27=DataValidation!$B$2,'Vols - Forward Curve'!I44,IF('Cap Pricer'!$G$27=DataValidation!$B$3,'Vols - Forward Curve'!H44,IF('Cap Pricer'!$G$27=DataValidation!$B$4,'Vols - Forward Curve'!D44,IF('Cap Pricer'!$G$27=DataValidation!$B$5,'Vols - Forward Curve'!G44,IF('Cap Pricer'!$G$27=DataValidation!$B$6,'Vols - Forward Curve'!F44,IF('Cap Pricer'!$G$27=DataValidation!$B$8,'Vols - Forward Curve'!K44,IF('Cap Pricer'!$G$27=DataValidation!$B$9,'Vols - Forward Curve'!L44,IF('Cap Pricer'!$G$27=DataValidation!$B$10,'Vols - Forward Curve'!M44,IF('Cap Pricer'!$G$27=DataValidation!$B$11,'Vols - Forward Curve'!N44,"")))))))))</f>
        <v>2.8195899999999999E-2</v>
      </c>
      <c r="S44" s="177">
        <f t="shared" si="7"/>
        <v>46288</v>
      </c>
      <c r="T44" s="172">
        <v>2.78125E-2</v>
      </c>
    </row>
    <row r="45" spans="1:20">
      <c r="A45" s="33">
        <f>Volatilities_Resets!C47</f>
        <v>46318</v>
      </c>
      <c r="B45" s="130">
        <f>Volatilities_Resets!AC47/100</f>
        <v>1.3973</v>
      </c>
      <c r="C45" s="37"/>
      <c r="D45" s="130">
        <f>Volatilities_Resets!E47/100</f>
        <v>2.8195899999999999E-2</v>
      </c>
      <c r="E45" s="34"/>
      <c r="F45" s="37">
        <f t="shared" si="1"/>
        <v>-0.12211484030782062</v>
      </c>
      <c r="G45" s="37">
        <f t="shared" si="2"/>
        <v>-4.6959470153910311E-2</v>
      </c>
      <c r="H45" s="37">
        <f t="shared" si="3"/>
        <v>0.10335127015391031</v>
      </c>
      <c r="I45" s="37">
        <f t="shared" si="4"/>
        <v>0.17850664030782062</v>
      </c>
      <c r="K45" s="37">
        <f t="shared" si="8"/>
        <v>2.75E-2</v>
      </c>
      <c r="L45" s="34">
        <v>0.06</v>
      </c>
      <c r="M45" s="27">
        <f t="shared" si="5"/>
        <v>3.0695899999999998E-2</v>
      </c>
      <c r="N45" s="37">
        <f t="shared" si="6"/>
        <v>3.31959E-2</v>
      </c>
      <c r="P45" s="37">
        <f>IF('Cap Pricer'!$G$27=DataValidation!$B$2,'Vols - Forward Curve'!I45,IF('Cap Pricer'!$G$27=DataValidation!$B$3,'Vols - Forward Curve'!H45,IF('Cap Pricer'!$G$27=DataValidation!$B$4,'Vols - Forward Curve'!D45,IF('Cap Pricer'!$G$27=DataValidation!$B$5,'Vols - Forward Curve'!G45,IF('Cap Pricer'!$G$27=DataValidation!$B$6,'Vols - Forward Curve'!F45,IF('Cap Pricer'!$G$27=DataValidation!$B$8,'Vols - Forward Curve'!K45,IF('Cap Pricer'!$G$27=DataValidation!$B$9,'Vols - Forward Curve'!L45,IF('Cap Pricer'!$G$27=DataValidation!$B$10,'Vols - Forward Curve'!M45,IF('Cap Pricer'!$G$27=DataValidation!$B$11,'Vols - Forward Curve'!N45,"")))))))))</f>
        <v>2.8195899999999999E-2</v>
      </c>
      <c r="S45" s="177">
        <f t="shared" si="7"/>
        <v>46318</v>
      </c>
      <c r="T45" s="172">
        <v>2.75E-2</v>
      </c>
    </row>
    <row r="46" spans="1:20">
      <c r="A46" s="33">
        <f>Volatilities_Resets!C48</f>
        <v>46349</v>
      </c>
      <c r="B46" s="130">
        <f>Volatilities_Resets!AC48/100</f>
        <v>1.3973</v>
      </c>
      <c r="C46" s="37"/>
      <c r="D46" s="130">
        <f>Volatilities_Resets!E48/100</f>
        <v>2.81981E-2</v>
      </c>
      <c r="E46" s="34"/>
      <c r="F46" s="37">
        <f t="shared" si="1"/>
        <v>-0.12389259330131756</v>
      </c>
      <c r="G46" s="37">
        <f t="shared" si="2"/>
        <v>-4.784724665065878E-2</v>
      </c>
      <c r="H46" s="37">
        <f t="shared" si="3"/>
        <v>0.10424344665065878</v>
      </c>
      <c r="I46" s="37">
        <f t="shared" si="4"/>
        <v>0.18028879330131756</v>
      </c>
      <c r="K46" s="37">
        <f t="shared" si="8"/>
        <v>2.71875E-2</v>
      </c>
      <c r="L46" s="34">
        <v>0.06</v>
      </c>
      <c r="M46" s="27">
        <f t="shared" si="5"/>
        <v>3.0698099999999999E-2</v>
      </c>
      <c r="N46" s="37">
        <f t="shared" si="6"/>
        <v>3.3198100000000001E-2</v>
      </c>
      <c r="P46" s="37">
        <f>IF('Cap Pricer'!$G$27=DataValidation!$B$2,'Vols - Forward Curve'!I46,IF('Cap Pricer'!$G$27=DataValidation!$B$3,'Vols - Forward Curve'!H46,IF('Cap Pricer'!$G$27=DataValidation!$B$4,'Vols - Forward Curve'!D46,IF('Cap Pricer'!$G$27=DataValidation!$B$5,'Vols - Forward Curve'!G46,IF('Cap Pricer'!$G$27=DataValidation!$B$6,'Vols - Forward Curve'!F46,IF('Cap Pricer'!$G$27=DataValidation!$B$8,'Vols - Forward Curve'!K46,IF('Cap Pricer'!$G$27=DataValidation!$B$9,'Vols - Forward Curve'!L46,IF('Cap Pricer'!$G$27=DataValidation!$B$10,'Vols - Forward Curve'!M46,IF('Cap Pricer'!$G$27=DataValidation!$B$11,'Vols - Forward Curve'!N46,"")))))))))</f>
        <v>2.81981E-2</v>
      </c>
      <c r="S46" s="177">
        <f t="shared" si="7"/>
        <v>46349</v>
      </c>
      <c r="T46" s="172">
        <v>2.71875E-2</v>
      </c>
    </row>
    <row r="47" spans="1:20">
      <c r="A47" s="33">
        <f>Volatilities_Resets!C49</f>
        <v>46379</v>
      </c>
      <c r="B47" s="130">
        <f>Volatilities_Resets!AC49/100</f>
        <v>1.3973</v>
      </c>
      <c r="C47" s="37"/>
      <c r="D47" s="130">
        <f>Volatilities_Resets!E49/100</f>
        <v>2.8195899999999999E-2</v>
      </c>
      <c r="E47" s="34"/>
      <c r="F47" s="37">
        <f t="shared" si="1"/>
        <v>-0.12557462366396133</v>
      </c>
      <c r="G47" s="37">
        <f t="shared" si="2"/>
        <v>-4.8689361831980672E-2</v>
      </c>
      <c r="H47" s="37">
        <f t="shared" si="3"/>
        <v>0.10508116183198067</v>
      </c>
      <c r="I47" s="37">
        <f t="shared" si="4"/>
        <v>0.18196642366396135</v>
      </c>
      <c r="K47" s="37">
        <f t="shared" si="8"/>
        <v>2.6875E-2</v>
      </c>
      <c r="L47" s="34">
        <v>0.06</v>
      </c>
      <c r="M47" s="27">
        <f t="shared" si="5"/>
        <v>3.0695899999999998E-2</v>
      </c>
      <c r="N47" s="37">
        <f t="shared" si="6"/>
        <v>3.31959E-2</v>
      </c>
      <c r="P47" s="37">
        <f>IF('Cap Pricer'!$G$27=DataValidation!$B$2,'Vols - Forward Curve'!I47,IF('Cap Pricer'!$G$27=DataValidation!$B$3,'Vols - Forward Curve'!H47,IF('Cap Pricer'!$G$27=DataValidation!$B$4,'Vols - Forward Curve'!D47,IF('Cap Pricer'!$G$27=DataValidation!$B$5,'Vols - Forward Curve'!G47,IF('Cap Pricer'!$G$27=DataValidation!$B$6,'Vols - Forward Curve'!F47,IF('Cap Pricer'!$G$27=DataValidation!$B$8,'Vols - Forward Curve'!K47,IF('Cap Pricer'!$G$27=DataValidation!$B$9,'Vols - Forward Curve'!L47,IF('Cap Pricer'!$G$27=DataValidation!$B$10,'Vols - Forward Curve'!M47,IF('Cap Pricer'!$G$27=DataValidation!$B$11,'Vols - Forward Curve'!N47,"")))))))))</f>
        <v>2.8195899999999999E-2</v>
      </c>
      <c r="S47" s="177">
        <f t="shared" si="7"/>
        <v>46379</v>
      </c>
      <c r="T47" s="172">
        <v>2.6875E-2</v>
      </c>
    </row>
    <row r="48" spans="1:20">
      <c r="A48" s="33">
        <f>Volatilities_Resets!C50</f>
        <v>46410</v>
      </c>
      <c r="B48" s="130">
        <f>Volatilities_Resets!AC50/100</f>
        <v>1.3548</v>
      </c>
      <c r="C48" s="37"/>
      <c r="D48" s="130">
        <f>Volatilities_Resets!E50/100</f>
        <v>2.8194799999999999E-2</v>
      </c>
      <c r="E48" s="34"/>
      <c r="F48" s="37">
        <f t="shared" si="1"/>
        <v>-0.12256895939406791</v>
      </c>
      <c r="G48" s="37">
        <f t="shared" si="2"/>
        <v>-4.7187079697033958E-2</v>
      </c>
      <c r="H48" s="37">
        <f t="shared" si="3"/>
        <v>0.10357667969703395</v>
      </c>
      <c r="I48" s="37">
        <f t="shared" si="4"/>
        <v>0.17895855939406791</v>
      </c>
      <c r="K48" s="37">
        <f t="shared" si="8"/>
        <v>2.6562499999999999E-2</v>
      </c>
      <c r="L48" s="34">
        <v>0.06</v>
      </c>
      <c r="M48" s="27">
        <f t="shared" si="5"/>
        <v>3.0694799999999998E-2</v>
      </c>
      <c r="N48" s="37">
        <f t="shared" si="6"/>
        <v>3.3194799999999997E-2</v>
      </c>
      <c r="P48" s="37">
        <f>IF('Cap Pricer'!$G$27=DataValidation!$B$2,'Vols - Forward Curve'!I48,IF('Cap Pricer'!$G$27=DataValidation!$B$3,'Vols - Forward Curve'!H48,IF('Cap Pricer'!$G$27=DataValidation!$B$4,'Vols - Forward Curve'!D48,IF('Cap Pricer'!$G$27=DataValidation!$B$5,'Vols - Forward Curve'!G48,IF('Cap Pricer'!$G$27=DataValidation!$B$6,'Vols - Forward Curve'!F48,IF('Cap Pricer'!$G$27=DataValidation!$B$8,'Vols - Forward Curve'!K48,IF('Cap Pricer'!$G$27=DataValidation!$B$9,'Vols - Forward Curve'!L48,IF('Cap Pricer'!$G$27=DataValidation!$B$10,'Vols - Forward Curve'!M48,IF('Cap Pricer'!$G$27=DataValidation!$B$11,'Vols - Forward Curve'!N48,"")))))))))</f>
        <v>2.8194799999999999E-2</v>
      </c>
      <c r="S48" s="177">
        <f t="shared" si="7"/>
        <v>46410</v>
      </c>
      <c r="T48" s="172">
        <v>2.6562499999999999E-2</v>
      </c>
    </row>
    <row r="49" spans="1:20">
      <c r="A49" s="33">
        <f>Volatilities_Resets!C51</f>
        <v>46441</v>
      </c>
      <c r="B49" s="130">
        <f>Volatilities_Resets!AC51/100</f>
        <v>1.3149000000000002</v>
      </c>
      <c r="C49" s="37"/>
      <c r="D49" s="130">
        <f>Volatilities_Resets!E51/100</f>
        <v>2.8192599999999998E-2</v>
      </c>
      <c r="E49" s="34"/>
      <c r="F49" s="37">
        <f t="shared" si="1"/>
        <v>-0.11972835274713324</v>
      </c>
      <c r="G49" s="37">
        <f t="shared" si="2"/>
        <v>-4.5767876373566621E-2</v>
      </c>
      <c r="H49" s="37">
        <f t="shared" si="3"/>
        <v>0.10215307637356662</v>
      </c>
      <c r="I49" s="37">
        <f t="shared" si="4"/>
        <v>0.17611355274713325</v>
      </c>
      <c r="K49" s="37">
        <f t="shared" si="8"/>
        <v>2.6249999999999999E-2</v>
      </c>
      <c r="L49" s="34">
        <v>0.06</v>
      </c>
      <c r="M49" s="27">
        <f t="shared" si="5"/>
        <v>3.0692599999999997E-2</v>
      </c>
      <c r="N49" s="37">
        <f t="shared" si="6"/>
        <v>3.3192599999999996E-2</v>
      </c>
      <c r="P49" s="37">
        <f>IF('Cap Pricer'!$G$27=DataValidation!$B$2,'Vols - Forward Curve'!I49,IF('Cap Pricer'!$G$27=DataValidation!$B$3,'Vols - Forward Curve'!H49,IF('Cap Pricer'!$G$27=DataValidation!$B$4,'Vols - Forward Curve'!D49,IF('Cap Pricer'!$G$27=DataValidation!$B$5,'Vols - Forward Curve'!G49,IF('Cap Pricer'!$G$27=DataValidation!$B$6,'Vols - Forward Curve'!F49,IF('Cap Pricer'!$G$27=DataValidation!$B$8,'Vols - Forward Curve'!K49,IF('Cap Pricer'!$G$27=DataValidation!$B$9,'Vols - Forward Curve'!L49,IF('Cap Pricer'!$G$27=DataValidation!$B$10,'Vols - Forward Curve'!M49,IF('Cap Pricer'!$G$27=DataValidation!$B$11,'Vols - Forward Curve'!N49,"")))))))))</f>
        <v>2.8192599999999998E-2</v>
      </c>
      <c r="S49" s="177">
        <f t="shared" si="7"/>
        <v>46441</v>
      </c>
      <c r="T49" s="172">
        <v>2.6249999999999999E-2</v>
      </c>
    </row>
    <row r="50" spans="1:20">
      <c r="A50" s="33">
        <f>Volatilities_Resets!C52</f>
        <v>46469</v>
      </c>
      <c r="B50" s="130">
        <f>Volatilities_Resets!AC52/100</f>
        <v>1.2744</v>
      </c>
      <c r="C50" s="37"/>
      <c r="D50" s="130">
        <f>Volatilities_Resets!E52/100</f>
        <v>2.8291300000000002E-2</v>
      </c>
      <c r="E50" s="34"/>
      <c r="F50" s="37">
        <f t="shared" si="1"/>
        <v>-0.11697421229118472</v>
      </c>
      <c r="G50" s="37">
        <f t="shared" si="2"/>
        <v>-4.4341456145592366E-2</v>
      </c>
      <c r="H50" s="37">
        <f t="shared" si="3"/>
        <v>0.10092405614559237</v>
      </c>
      <c r="I50" s="37">
        <f t="shared" si="4"/>
        <v>0.17355681229118472</v>
      </c>
      <c r="K50" s="37">
        <f t="shared" si="8"/>
        <v>2.5937499999999999E-2</v>
      </c>
      <c r="L50" s="34">
        <v>0.06</v>
      </c>
      <c r="M50" s="27">
        <f t="shared" si="5"/>
        <v>3.0791300000000001E-2</v>
      </c>
      <c r="N50" s="37">
        <f t="shared" si="6"/>
        <v>3.3291300000000003E-2</v>
      </c>
      <c r="P50" s="37">
        <f>IF('Cap Pricer'!$G$27=DataValidation!$B$2,'Vols - Forward Curve'!I50,IF('Cap Pricer'!$G$27=DataValidation!$B$3,'Vols - Forward Curve'!H50,IF('Cap Pricer'!$G$27=DataValidation!$B$4,'Vols - Forward Curve'!D50,IF('Cap Pricer'!$G$27=DataValidation!$B$5,'Vols - Forward Curve'!G50,IF('Cap Pricer'!$G$27=DataValidation!$B$6,'Vols - Forward Curve'!F50,IF('Cap Pricer'!$G$27=DataValidation!$B$8,'Vols - Forward Curve'!K50,IF('Cap Pricer'!$G$27=DataValidation!$B$9,'Vols - Forward Curve'!L50,IF('Cap Pricer'!$G$27=DataValidation!$B$10,'Vols - Forward Curve'!M50,IF('Cap Pricer'!$G$27=DataValidation!$B$11,'Vols - Forward Curve'!N50,"")))))))))</f>
        <v>2.8291300000000002E-2</v>
      </c>
      <c r="S50" s="177">
        <f t="shared" si="7"/>
        <v>46469</v>
      </c>
      <c r="T50" s="172">
        <v>2.5937499999999999E-2</v>
      </c>
    </row>
    <row r="51" spans="1:20">
      <c r="A51" s="33">
        <f>Volatilities_Resets!C53</f>
        <v>46500</v>
      </c>
      <c r="B51" s="130">
        <f>Volatilities_Resets!AC53/100</f>
        <v>1.2701</v>
      </c>
      <c r="C51" s="37"/>
      <c r="D51" s="130">
        <f>Volatilities_Resets!E53/100</f>
        <v>2.83109E-2</v>
      </c>
      <c r="E51" s="34"/>
      <c r="F51" s="37">
        <f t="shared" si="1"/>
        <v>-0.11809370885035479</v>
      </c>
      <c r="G51" s="37">
        <f t="shared" si="2"/>
        <v>-4.4891404425177396E-2</v>
      </c>
      <c r="H51" s="37">
        <f t="shared" si="3"/>
        <v>0.1015132044251774</v>
      </c>
      <c r="I51" s="37">
        <f t="shared" si="4"/>
        <v>0.17471550885035481</v>
      </c>
      <c r="K51" s="37">
        <f t="shared" si="8"/>
        <v>2.5624999999999998E-2</v>
      </c>
      <c r="L51" s="34">
        <v>0.06</v>
      </c>
      <c r="M51" s="27">
        <f t="shared" si="5"/>
        <v>3.0810899999999999E-2</v>
      </c>
      <c r="N51" s="37">
        <f t="shared" si="6"/>
        <v>3.3310899999999997E-2</v>
      </c>
      <c r="P51" s="37">
        <f>IF('Cap Pricer'!$G$27=DataValidation!$B$2,'Vols - Forward Curve'!I51,IF('Cap Pricer'!$G$27=DataValidation!$B$3,'Vols - Forward Curve'!H51,IF('Cap Pricer'!$G$27=DataValidation!$B$4,'Vols - Forward Curve'!D51,IF('Cap Pricer'!$G$27=DataValidation!$B$5,'Vols - Forward Curve'!G51,IF('Cap Pricer'!$G$27=DataValidation!$B$6,'Vols - Forward Curve'!F51,IF('Cap Pricer'!$G$27=DataValidation!$B$8,'Vols - Forward Curve'!K51,IF('Cap Pricer'!$G$27=DataValidation!$B$9,'Vols - Forward Curve'!L51,IF('Cap Pricer'!$G$27=DataValidation!$B$10,'Vols - Forward Curve'!M51,IF('Cap Pricer'!$G$27=DataValidation!$B$11,'Vols - Forward Curve'!N51,"")))))))))</f>
        <v>2.83109E-2</v>
      </c>
      <c r="S51" s="177">
        <f t="shared" si="7"/>
        <v>46500</v>
      </c>
      <c r="T51" s="172">
        <v>2.5624999999999998E-2</v>
      </c>
    </row>
    <row r="52" spans="1:20">
      <c r="A52" s="33">
        <f>Volatilities_Resets!C54</f>
        <v>46530</v>
      </c>
      <c r="B52" s="130">
        <f>Volatilities_Resets!AC54/100</f>
        <v>1.2701</v>
      </c>
      <c r="C52" s="37"/>
      <c r="D52" s="130">
        <f>Volatilities_Resets!E54/100</f>
        <v>2.8314200000000001E-2</v>
      </c>
      <c r="E52" s="34"/>
      <c r="F52" s="37">
        <f t="shared" si="1"/>
        <v>-0.11957221563142618</v>
      </c>
      <c r="G52" s="37">
        <f t="shared" si="2"/>
        <v>-4.5629007815713093E-2</v>
      </c>
      <c r="H52" s="37">
        <f t="shared" si="3"/>
        <v>0.10225740781571309</v>
      </c>
      <c r="I52" s="37">
        <f t="shared" si="4"/>
        <v>0.17620061563142619</v>
      </c>
      <c r="K52" s="37">
        <f t="shared" si="8"/>
        <v>2.5312499999999998E-2</v>
      </c>
      <c r="L52" s="34">
        <v>0.06</v>
      </c>
      <c r="M52" s="27">
        <f t="shared" si="5"/>
        <v>3.08142E-2</v>
      </c>
      <c r="N52" s="37">
        <f t="shared" si="6"/>
        <v>3.3314200000000002E-2</v>
      </c>
      <c r="P52" s="37">
        <f>IF('Cap Pricer'!$G$27=DataValidation!$B$2,'Vols - Forward Curve'!I52,IF('Cap Pricer'!$G$27=DataValidation!$B$3,'Vols - Forward Curve'!H52,IF('Cap Pricer'!$G$27=DataValidation!$B$4,'Vols - Forward Curve'!D52,IF('Cap Pricer'!$G$27=DataValidation!$B$5,'Vols - Forward Curve'!G52,IF('Cap Pricer'!$G$27=DataValidation!$B$6,'Vols - Forward Curve'!F52,IF('Cap Pricer'!$G$27=DataValidation!$B$8,'Vols - Forward Curve'!K52,IF('Cap Pricer'!$G$27=DataValidation!$B$9,'Vols - Forward Curve'!L52,IF('Cap Pricer'!$G$27=DataValidation!$B$10,'Vols - Forward Curve'!M52,IF('Cap Pricer'!$G$27=DataValidation!$B$11,'Vols - Forward Curve'!N52,"")))))))))</f>
        <v>2.8314200000000001E-2</v>
      </c>
      <c r="S52" s="177">
        <f t="shared" si="7"/>
        <v>46530</v>
      </c>
      <c r="T52" s="172">
        <v>2.5312499999999998E-2</v>
      </c>
    </row>
    <row r="53" spans="1:20">
      <c r="A53" s="33">
        <f>Volatilities_Resets!C55</f>
        <v>46561</v>
      </c>
      <c r="B53" s="130">
        <f>Volatilities_Resets!AC55/100</f>
        <v>1.2701</v>
      </c>
      <c r="C53" s="37"/>
      <c r="D53" s="130">
        <f>Volatilities_Resets!E55/100</f>
        <v>2.8312E-2</v>
      </c>
      <c r="E53" s="34"/>
      <c r="F53" s="37">
        <f t="shared" si="1"/>
        <v>-0.12106128732009458</v>
      </c>
      <c r="G53" s="37">
        <f t="shared" si="2"/>
        <v>-4.6374643660047288E-2</v>
      </c>
      <c r="H53" s="37">
        <f t="shared" si="3"/>
        <v>0.1029986436600473</v>
      </c>
      <c r="I53" s="37">
        <f t="shared" si="4"/>
        <v>0.17768528732009459</v>
      </c>
      <c r="K53" s="37">
        <f t="shared" si="8"/>
        <v>2.5000000000000001E-2</v>
      </c>
      <c r="L53" s="34">
        <v>0.06</v>
      </c>
      <c r="M53" s="27">
        <f t="shared" si="5"/>
        <v>3.0811999999999999E-2</v>
      </c>
      <c r="N53" s="37">
        <f t="shared" si="6"/>
        <v>3.3312000000000001E-2</v>
      </c>
      <c r="P53" s="37">
        <f>IF('Cap Pricer'!$G$27=DataValidation!$B$2,'Vols - Forward Curve'!I53,IF('Cap Pricer'!$G$27=DataValidation!$B$3,'Vols - Forward Curve'!H53,IF('Cap Pricer'!$G$27=DataValidation!$B$4,'Vols - Forward Curve'!D53,IF('Cap Pricer'!$G$27=DataValidation!$B$5,'Vols - Forward Curve'!G53,IF('Cap Pricer'!$G$27=DataValidation!$B$6,'Vols - Forward Curve'!F53,IF('Cap Pricer'!$G$27=DataValidation!$B$8,'Vols - Forward Curve'!K53,IF('Cap Pricer'!$G$27=DataValidation!$B$9,'Vols - Forward Curve'!L53,IF('Cap Pricer'!$G$27=DataValidation!$B$10,'Vols - Forward Curve'!M53,IF('Cap Pricer'!$G$27=DataValidation!$B$11,'Vols - Forward Curve'!N53,"")))))))))</f>
        <v>2.8312E-2</v>
      </c>
      <c r="S53" s="177">
        <f t="shared" si="7"/>
        <v>46561</v>
      </c>
      <c r="T53" s="172">
        <v>2.5000000000000001E-2</v>
      </c>
    </row>
    <row r="54" spans="1:20">
      <c r="A54" s="33">
        <f>Volatilities_Resets!C56</f>
        <v>46591</v>
      </c>
      <c r="B54" s="130">
        <f>Volatilities_Resets!AC56/100</f>
        <v>1.2701</v>
      </c>
      <c r="C54" s="37"/>
      <c r="D54" s="130">
        <f>Volatilities_Resets!E56/100</f>
        <v>2.8312E-2</v>
      </c>
      <c r="E54" s="34"/>
      <c r="F54" s="37">
        <f t="shared" si="1"/>
        <v>-0.12249714173882305</v>
      </c>
      <c r="G54" s="37">
        <f t="shared" si="2"/>
        <v>-4.7092570869411522E-2</v>
      </c>
      <c r="H54" s="37">
        <f t="shared" si="3"/>
        <v>0.10371657086941152</v>
      </c>
      <c r="I54" s="37">
        <f t="shared" si="4"/>
        <v>0.17912114173882304</v>
      </c>
      <c r="K54" s="37">
        <f t="shared" si="8"/>
        <v>2.5000000000000001E-2</v>
      </c>
      <c r="L54" s="34">
        <v>0.06</v>
      </c>
      <c r="M54" s="27">
        <f t="shared" si="5"/>
        <v>3.0811999999999999E-2</v>
      </c>
      <c r="N54" s="37">
        <f t="shared" si="6"/>
        <v>3.3312000000000001E-2</v>
      </c>
      <c r="P54" s="37">
        <f>IF('Cap Pricer'!$G$27=DataValidation!$B$2,'Vols - Forward Curve'!I54,IF('Cap Pricer'!$G$27=DataValidation!$B$3,'Vols - Forward Curve'!H54,IF('Cap Pricer'!$G$27=DataValidation!$B$4,'Vols - Forward Curve'!D54,IF('Cap Pricer'!$G$27=DataValidation!$B$5,'Vols - Forward Curve'!G54,IF('Cap Pricer'!$G$27=DataValidation!$B$6,'Vols - Forward Curve'!F54,IF('Cap Pricer'!$G$27=DataValidation!$B$8,'Vols - Forward Curve'!K54,IF('Cap Pricer'!$G$27=DataValidation!$B$9,'Vols - Forward Curve'!L54,IF('Cap Pricer'!$G$27=DataValidation!$B$10,'Vols - Forward Curve'!M54,IF('Cap Pricer'!$G$27=DataValidation!$B$11,'Vols - Forward Curve'!N54,"")))))))))</f>
        <v>2.8312E-2</v>
      </c>
      <c r="S54" s="177">
        <f t="shared" si="7"/>
        <v>46591</v>
      </c>
      <c r="T54" s="172">
        <v>2.5000000000000001E-2</v>
      </c>
    </row>
    <row r="55" spans="1:20">
      <c r="A55" s="33">
        <f>Volatilities_Resets!C57</f>
        <v>46622</v>
      </c>
      <c r="B55" s="130">
        <f>Volatilities_Resets!AC57/100</f>
        <v>1.2701</v>
      </c>
      <c r="C55" s="37"/>
      <c r="D55" s="130">
        <f>Volatilities_Resets!E57/100</f>
        <v>2.8314200000000001E-2</v>
      </c>
      <c r="E55" s="34"/>
      <c r="F55" s="37">
        <f t="shared" si="1"/>
        <v>-0.12397626821710708</v>
      </c>
      <c r="G55" s="37">
        <f t="shared" si="2"/>
        <v>-4.7831034108553543E-2</v>
      </c>
      <c r="H55" s="37">
        <f t="shared" si="3"/>
        <v>0.10445943410855354</v>
      </c>
      <c r="I55" s="37">
        <f t="shared" si="4"/>
        <v>0.18060466821710708</v>
      </c>
      <c r="K55" s="37">
        <f t="shared" si="8"/>
        <v>2.5000000000000001E-2</v>
      </c>
      <c r="L55" s="34">
        <v>0.06</v>
      </c>
      <c r="M55" s="27">
        <f t="shared" si="5"/>
        <v>3.08142E-2</v>
      </c>
      <c r="N55" s="37">
        <f t="shared" si="6"/>
        <v>3.3314200000000002E-2</v>
      </c>
      <c r="P55" s="37">
        <f>IF('Cap Pricer'!$G$27=DataValidation!$B$2,'Vols - Forward Curve'!I55,IF('Cap Pricer'!$G$27=DataValidation!$B$3,'Vols - Forward Curve'!H55,IF('Cap Pricer'!$G$27=DataValidation!$B$4,'Vols - Forward Curve'!D55,IF('Cap Pricer'!$G$27=DataValidation!$B$5,'Vols - Forward Curve'!G55,IF('Cap Pricer'!$G$27=DataValidation!$B$6,'Vols - Forward Curve'!F55,IF('Cap Pricer'!$G$27=DataValidation!$B$8,'Vols - Forward Curve'!K55,IF('Cap Pricer'!$G$27=DataValidation!$B$9,'Vols - Forward Curve'!L55,IF('Cap Pricer'!$G$27=DataValidation!$B$10,'Vols - Forward Curve'!M55,IF('Cap Pricer'!$G$27=DataValidation!$B$11,'Vols - Forward Curve'!N55,"")))))))))</f>
        <v>2.8314200000000001E-2</v>
      </c>
      <c r="S55" s="177">
        <f t="shared" si="7"/>
        <v>46622</v>
      </c>
      <c r="T55" s="172">
        <v>2.5000000000000001E-2</v>
      </c>
    </row>
    <row r="56" spans="1:20">
      <c r="A56" s="33">
        <f>Volatilities_Resets!C58</f>
        <v>46653</v>
      </c>
      <c r="B56" s="130">
        <f>Volatilities_Resets!AC58/100</f>
        <v>1.2701</v>
      </c>
      <c r="C56" s="37"/>
      <c r="D56" s="130">
        <f>Volatilities_Resets!E58/100</f>
        <v>2.83109E-2</v>
      </c>
      <c r="E56" s="34"/>
      <c r="F56" s="37">
        <f t="shared" si="1"/>
        <v>-0.12541721013852314</v>
      </c>
      <c r="G56" s="37">
        <f t="shared" si="2"/>
        <v>-4.8553155069261576E-2</v>
      </c>
      <c r="H56" s="37">
        <f t="shared" si="3"/>
        <v>0.10517495506926157</v>
      </c>
      <c r="I56" s="37">
        <f t="shared" si="4"/>
        <v>0.18203901013852314</v>
      </c>
      <c r="K56" s="37">
        <f t="shared" si="8"/>
        <v>2.5000000000000001E-2</v>
      </c>
      <c r="L56" s="34">
        <v>0.06</v>
      </c>
      <c r="M56" s="27">
        <f t="shared" si="5"/>
        <v>3.0810899999999999E-2</v>
      </c>
      <c r="N56" s="37">
        <f t="shared" si="6"/>
        <v>3.3310899999999997E-2</v>
      </c>
      <c r="P56" s="37">
        <f>IF('Cap Pricer'!$G$27=DataValidation!$B$2,'Vols - Forward Curve'!I56,IF('Cap Pricer'!$G$27=DataValidation!$B$3,'Vols - Forward Curve'!H56,IF('Cap Pricer'!$G$27=DataValidation!$B$4,'Vols - Forward Curve'!D56,IF('Cap Pricer'!$G$27=DataValidation!$B$5,'Vols - Forward Curve'!G56,IF('Cap Pricer'!$G$27=DataValidation!$B$6,'Vols - Forward Curve'!F56,IF('Cap Pricer'!$G$27=DataValidation!$B$8,'Vols - Forward Curve'!K56,IF('Cap Pricer'!$G$27=DataValidation!$B$9,'Vols - Forward Curve'!L56,IF('Cap Pricer'!$G$27=DataValidation!$B$10,'Vols - Forward Curve'!M56,IF('Cap Pricer'!$G$27=DataValidation!$B$11,'Vols - Forward Curve'!N56,"")))))))))</f>
        <v>2.83109E-2</v>
      </c>
      <c r="S56" s="177">
        <f t="shared" si="7"/>
        <v>46653</v>
      </c>
      <c r="T56" s="172">
        <v>2.5000000000000001E-2</v>
      </c>
    </row>
    <row r="57" spans="1:20">
      <c r="A57" s="33">
        <f>Volatilities_Resets!C59</f>
        <v>46683</v>
      </c>
      <c r="B57" s="130">
        <f>Volatilities_Resets!AC59/100</f>
        <v>1.2701</v>
      </c>
      <c r="C57" s="37"/>
      <c r="D57" s="130">
        <f>Volatilities_Resets!E59/100</f>
        <v>2.8314200000000001E-2</v>
      </c>
      <c r="E57" s="34"/>
      <c r="F57" s="37">
        <f t="shared" si="1"/>
        <v>-0.12682743441171251</v>
      </c>
      <c r="G57" s="37">
        <f t="shared" si="2"/>
        <v>-4.9256617205856258E-2</v>
      </c>
      <c r="H57" s="37">
        <f t="shared" si="3"/>
        <v>0.10588501720585626</v>
      </c>
      <c r="I57" s="37">
        <f t="shared" si="4"/>
        <v>0.18345583441171251</v>
      </c>
      <c r="K57" s="37">
        <f t="shared" si="8"/>
        <v>2.5000000000000001E-2</v>
      </c>
      <c r="L57" s="34">
        <v>0.06</v>
      </c>
      <c r="M57" s="27">
        <f t="shared" si="5"/>
        <v>3.08142E-2</v>
      </c>
      <c r="N57" s="37">
        <f t="shared" si="6"/>
        <v>3.3314200000000002E-2</v>
      </c>
      <c r="P57" s="37">
        <f>IF('Cap Pricer'!$G$27=DataValidation!$B$2,'Vols - Forward Curve'!I57,IF('Cap Pricer'!$G$27=DataValidation!$B$3,'Vols - Forward Curve'!H57,IF('Cap Pricer'!$G$27=DataValidation!$B$4,'Vols - Forward Curve'!D57,IF('Cap Pricer'!$G$27=DataValidation!$B$5,'Vols - Forward Curve'!G57,IF('Cap Pricer'!$G$27=DataValidation!$B$6,'Vols - Forward Curve'!F57,IF('Cap Pricer'!$G$27=DataValidation!$B$8,'Vols - Forward Curve'!K57,IF('Cap Pricer'!$G$27=DataValidation!$B$9,'Vols - Forward Curve'!L57,IF('Cap Pricer'!$G$27=DataValidation!$B$10,'Vols - Forward Curve'!M57,IF('Cap Pricer'!$G$27=DataValidation!$B$11,'Vols - Forward Curve'!N57,"")))))))))</f>
        <v>2.8314200000000001E-2</v>
      </c>
      <c r="S57" s="177">
        <f t="shared" si="7"/>
        <v>46683</v>
      </c>
      <c r="T57" s="172">
        <v>2.5000000000000001E-2</v>
      </c>
    </row>
    <row r="58" spans="1:20">
      <c r="A58" s="33">
        <f>Volatilities_Resets!C60</f>
        <v>46714</v>
      </c>
      <c r="B58" s="130">
        <f>Volatilities_Resets!AC60/100</f>
        <v>1.2701</v>
      </c>
      <c r="C58" s="37"/>
      <c r="D58" s="130">
        <f>Volatilities_Resets!E60/100</f>
        <v>2.8312E-2</v>
      </c>
      <c r="E58" s="34"/>
      <c r="F58" s="37">
        <f t="shared" si="1"/>
        <v>-0.12824652620497826</v>
      </c>
      <c r="G58" s="37">
        <f t="shared" si="2"/>
        <v>-4.9967263102489126E-2</v>
      </c>
      <c r="H58" s="37">
        <f t="shared" si="3"/>
        <v>0.10659126310248913</v>
      </c>
      <c r="I58" s="37">
        <f t="shared" si="4"/>
        <v>0.18487052620497826</v>
      </c>
      <c r="K58" s="37">
        <f t="shared" si="8"/>
        <v>2.5000000000000001E-2</v>
      </c>
      <c r="L58" s="34">
        <v>0.06</v>
      </c>
      <c r="M58" s="27">
        <f t="shared" si="5"/>
        <v>3.0811999999999999E-2</v>
      </c>
      <c r="N58" s="37">
        <f t="shared" si="6"/>
        <v>3.3312000000000001E-2</v>
      </c>
      <c r="P58" s="37">
        <f>IF('Cap Pricer'!$G$27=DataValidation!$B$2,'Vols - Forward Curve'!I58,IF('Cap Pricer'!$G$27=DataValidation!$B$3,'Vols - Forward Curve'!H58,IF('Cap Pricer'!$G$27=DataValidation!$B$4,'Vols - Forward Curve'!D58,IF('Cap Pricer'!$G$27=DataValidation!$B$5,'Vols - Forward Curve'!G58,IF('Cap Pricer'!$G$27=DataValidation!$B$6,'Vols - Forward Curve'!F58,IF('Cap Pricer'!$G$27=DataValidation!$B$8,'Vols - Forward Curve'!K58,IF('Cap Pricer'!$G$27=DataValidation!$B$9,'Vols - Forward Curve'!L58,IF('Cap Pricer'!$G$27=DataValidation!$B$10,'Vols - Forward Curve'!M58,IF('Cap Pricer'!$G$27=DataValidation!$B$11,'Vols - Forward Curve'!N58,"")))))))))</f>
        <v>2.8312E-2</v>
      </c>
      <c r="S58" s="177">
        <f t="shared" si="7"/>
        <v>46714</v>
      </c>
      <c r="T58" s="172">
        <v>2.5000000000000001E-2</v>
      </c>
    </row>
    <row r="59" spans="1:20">
      <c r="A59" s="33">
        <f>Volatilities_Resets!C61</f>
        <v>46744</v>
      </c>
      <c r="B59" s="130">
        <f>Volatilities_Resets!AC61/100</f>
        <v>1.2701</v>
      </c>
      <c r="C59" s="37"/>
      <c r="D59" s="130">
        <f>Volatilities_Resets!E61/100</f>
        <v>2.8312E-2</v>
      </c>
      <c r="E59" s="34"/>
      <c r="F59" s="37">
        <f t="shared" si="1"/>
        <v>-0.12961706760525041</v>
      </c>
      <c r="G59" s="37">
        <f t="shared" si="2"/>
        <v>-5.0652533802625209E-2</v>
      </c>
      <c r="H59" s="37">
        <f t="shared" si="3"/>
        <v>0.10727653380262521</v>
      </c>
      <c r="I59" s="37">
        <f t="shared" si="4"/>
        <v>0.18624106760525042</v>
      </c>
      <c r="K59" s="37">
        <f t="shared" si="8"/>
        <v>2.5000000000000001E-2</v>
      </c>
      <c r="L59" s="34">
        <v>0.06</v>
      </c>
      <c r="M59" s="27">
        <f t="shared" si="5"/>
        <v>3.0811999999999999E-2</v>
      </c>
      <c r="N59" s="37">
        <f t="shared" si="6"/>
        <v>3.3312000000000001E-2</v>
      </c>
      <c r="P59" s="37">
        <f>IF('Cap Pricer'!$G$27=DataValidation!$B$2,'Vols - Forward Curve'!I59,IF('Cap Pricer'!$G$27=DataValidation!$B$3,'Vols - Forward Curve'!H59,IF('Cap Pricer'!$G$27=DataValidation!$B$4,'Vols - Forward Curve'!D59,IF('Cap Pricer'!$G$27=DataValidation!$B$5,'Vols - Forward Curve'!G59,IF('Cap Pricer'!$G$27=DataValidation!$B$6,'Vols - Forward Curve'!F59,IF('Cap Pricer'!$G$27=DataValidation!$B$8,'Vols - Forward Curve'!K59,IF('Cap Pricer'!$G$27=DataValidation!$B$9,'Vols - Forward Curve'!L59,IF('Cap Pricer'!$G$27=DataValidation!$B$10,'Vols - Forward Curve'!M59,IF('Cap Pricer'!$G$27=DataValidation!$B$11,'Vols - Forward Curve'!N59,"")))))))))</f>
        <v>2.8312E-2</v>
      </c>
      <c r="S59" s="177">
        <f t="shared" si="7"/>
        <v>46744</v>
      </c>
      <c r="T59" s="172">
        <v>2.5000000000000001E-2</v>
      </c>
    </row>
    <row r="60" spans="1:20">
      <c r="A60" s="33">
        <f>Volatilities_Resets!C62</f>
        <v>46775</v>
      </c>
      <c r="B60" s="130">
        <f>Volatilities_Resets!AC62/100</f>
        <v>1.2392000000000001</v>
      </c>
      <c r="C60" s="37"/>
      <c r="D60" s="130">
        <f>Volatilities_Resets!E62/100</f>
        <v>2.8314200000000001E-2</v>
      </c>
      <c r="E60" s="34"/>
      <c r="F60" s="37">
        <f t="shared" si="1"/>
        <v>-0.12715441161935709</v>
      </c>
      <c r="G60" s="37">
        <f t="shared" si="2"/>
        <v>-4.9420105809678538E-2</v>
      </c>
      <c r="H60" s="37">
        <f t="shared" si="3"/>
        <v>0.10604850580967855</v>
      </c>
      <c r="I60" s="37">
        <f t="shared" si="4"/>
        <v>0.18378281161935708</v>
      </c>
      <c r="K60" s="37">
        <f t="shared" si="8"/>
        <v>2.5000000000000001E-2</v>
      </c>
      <c r="L60" s="34">
        <v>0.06</v>
      </c>
      <c r="M60" s="27">
        <f t="shared" si="5"/>
        <v>3.08142E-2</v>
      </c>
      <c r="N60" s="37">
        <f t="shared" si="6"/>
        <v>3.3314200000000002E-2</v>
      </c>
      <c r="P60" s="37">
        <f>IF('Cap Pricer'!$G$27=DataValidation!$B$2,'Vols - Forward Curve'!I60,IF('Cap Pricer'!$G$27=DataValidation!$B$3,'Vols - Forward Curve'!H60,IF('Cap Pricer'!$G$27=DataValidation!$B$4,'Vols - Forward Curve'!D60,IF('Cap Pricer'!$G$27=DataValidation!$B$5,'Vols - Forward Curve'!G60,IF('Cap Pricer'!$G$27=DataValidation!$B$6,'Vols - Forward Curve'!F60,IF('Cap Pricer'!$G$27=DataValidation!$B$8,'Vols - Forward Curve'!K60,IF('Cap Pricer'!$G$27=DataValidation!$B$9,'Vols - Forward Curve'!L60,IF('Cap Pricer'!$G$27=DataValidation!$B$10,'Vols - Forward Curve'!M60,IF('Cap Pricer'!$G$27=DataValidation!$B$11,'Vols - Forward Curve'!N60,"")))))))))</f>
        <v>2.8314200000000001E-2</v>
      </c>
      <c r="S60" s="177">
        <f t="shared" si="7"/>
        <v>46775</v>
      </c>
      <c r="T60" s="172">
        <v>2.5000000000000001E-2</v>
      </c>
    </row>
    <row r="61" spans="1:20">
      <c r="A61" s="33">
        <f>Volatilities_Resets!C63</f>
        <v>46806</v>
      </c>
      <c r="B61" s="130">
        <f>Volatilities_Resets!AC63/100</f>
        <v>1.2084999999999999</v>
      </c>
      <c r="C61" s="37"/>
      <c r="D61" s="130">
        <f>Volatilities_Resets!E63/100</f>
        <v>2.8312E-2</v>
      </c>
      <c r="E61" s="34"/>
      <c r="F61" s="37">
        <f t="shared" si="1"/>
        <v>-0.12461733264478517</v>
      </c>
      <c r="G61" s="37">
        <f t="shared" si="2"/>
        <v>-4.8152666322392582E-2</v>
      </c>
      <c r="H61" s="37">
        <f t="shared" si="3"/>
        <v>0.10477666632239259</v>
      </c>
      <c r="I61" s="37">
        <f t="shared" si="4"/>
        <v>0.18124133264478517</v>
      </c>
      <c r="K61" s="37">
        <f t="shared" si="8"/>
        <v>2.5000000000000001E-2</v>
      </c>
      <c r="L61" s="34">
        <v>0.06</v>
      </c>
      <c r="M61" s="27">
        <f t="shared" si="5"/>
        <v>3.0811999999999999E-2</v>
      </c>
      <c r="N61" s="37">
        <f t="shared" si="6"/>
        <v>3.3312000000000001E-2</v>
      </c>
      <c r="P61" s="37">
        <f>IF('Cap Pricer'!$G$27=DataValidation!$B$2,'Vols - Forward Curve'!I61,IF('Cap Pricer'!$G$27=DataValidation!$B$3,'Vols - Forward Curve'!H61,IF('Cap Pricer'!$G$27=DataValidation!$B$4,'Vols - Forward Curve'!D61,IF('Cap Pricer'!$G$27=DataValidation!$B$5,'Vols - Forward Curve'!G61,IF('Cap Pricer'!$G$27=DataValidation!$B$6,'Vols - Forward Curve'!F61,IF('Cap Pricer'!$G$27=DataValidation!$B$8,'Vols - Forward Curve'!K61,IF('Cap Pricer'!$G$27=DataValidation!$B$9,'Vols - Forward Curve'!L61,IF('Cap Pricer'!$G$27=DataValidation!$B$10,'Vols - Forward Curve'!M61,IF('Cap Pricer'!$G$27=DataValidation!$B$11,'Vols - Forward Curve'!N61,"")))))))))</f>
        <v>2.8312E-2</v>
      </c>
      <c r="S61" s="177">
        <f t="shared" si="7"/>
        <v>46806</v>
      </c>
      <c r="T61" s="172">
        <v>2.5000000000000001E-2</v>
      </c>
    </row>
    <row r="62" spans="1:20">
      <c r="A62" s="33">
        <f>Volatilities_Resets!C64</f>
        <v>46835</v>
      </c>
      <c r="B62" s="130">
        <f>Volatilities_Resets!AC64/100</f>
        <v>1.1720999999999999</v>
      </c>
      <c r="C62" s="37"/>
      <c r="D62" s="130">
        <f>Volatilities_Resets!E64/100</f>
        <v>2.9176700000000003E-2</v>
      </c>
      <c r="E62" s="34"/>
      <c r="F62" s="37">
        <f t="shared" si="1"/>
        <v>-0.12490421712727041</v>
      </c>
      <c r="G62" s="37">
        <f t="shared" si="2"/>
        <v>-4.7863758563635207E-2</v>
      </c>
      <c r="H62" s="37">
        <f t="shared" si="3"/>
        <v>0.10621715856363521</v>
      </c>
      <c r="I62" s="37">
        <f t="shared" si="4"/>
        <v>0.18325761712727043</v>
      </c>
      <c r="K62" s="37">
        <f t="shared" si="8"/>
        <v>2.5000000000000001E-2</v>
      </c>
      <c r="L62" s="34">
        <v>0.06</v>
      </c>
      <c r="M62" s="27">
        <f t="shared" si="5"/>
        <v>3.1676700000000002E-2</v>
      </c>
      <c r="N62" s="37">
        <f t="shared" si="6"/>
        <v>3.4176700000000004E-2</v>
      </c>
      <c r="P62" s="37">
        <f>IF('Cap Pricer'!$G$27=DataValidation!$B$2,'Vols - Forward Curve'!I62,IF('Cap Pricer'!$G$27=DataValidation!$B$3,'Vols - Forward Curve'!H62,IF('Cap Pricer'!$G$27=DataValidation!$B$4,'Vols - Forward Curve'!D62,IF('Cap Pricer'!$G$27=DataValidation!$B$5,'Vols - Forward Curve'!G62,IF('Cap Pricer'!$G$27=DataValidation!$B$6,'Vols - Forward Curve'!F62,IF('Cap Pricer'!$G$27=DataValidation!$B$8,'Vols - Forward Curve'!K62,IF('Cap Pricer'!$G$27=DataValidation!$B$9,'Vols - Forward Curve'!L62,IF('Cap Pricer'!$G$27=DataValidation!$B$10,'Vols - Forward Curve'!M62,IF('Cap Pricer'!$G$27=DataValidation!$B$11,'Vols - Forward Curve'!N62,"")))))))))</f>
        <v>2.9176700000000003E-2</v>
      </c>
      <c r="S62" s="177">
        <f t="shared" si="7"/>
        <v>46835</v>
      </c>
      <c r="T62" s="172">
        <v>2.5000000000000001E-2</v>
      </c>
    </row>
    <row r="63" spans="1:20">
      <c r="A63" s="33">
        <f>Volatilities_Resets!C65</f>
        <v>46866</v>
      </c>
      <c r="B63" s="130">
        <f>Volatilities_Resets!AC65/100</f>
        <v>1.1720999999999999</v>
      </c>
      <c r="C63" s="37"/>
      <c r="D63" s="130">
        <f>Volatilities_Resets!E65/100</f>
        <v>2.92351E-2</v>
      </c>
      <c r="E63" s="34"/>
      <c r="F63" s="37">
        <f t="shared" si="1"/>
        <v>-0.12645853193921619</v>
      </c>
      <c r="G63" s="37">
        <f t="shared" si="2"/>
        <v>-4.8611715969608088E-2</v>
      </c>
      <c r="H63" s="37">
        <f t="shared" si="3"/>
        <v>0.10708191596960809</v>
      </c>
      <c r="I63" s="37">
        <f t="shared" si="4"/>
        <v>0.18492873193921619</v>
      </c>
      <c r="K63" s="37">
        <f t="shared" si="8"/>
        <v>2.5000000000000001E-2</v>
      </c>
      <c r="L63" s="34">
        <v>0.06</v>
      </c>
      <c r="M63" s="27">
        <f t="shared" si="5"/>
        <v>3.1735100000000002E-2</v>
      </c>
      <c r="N63" s="37">
        <f t="shared" si="6"/>
        <v>3.4235099999999997E-2</v>
      </c>
      <c r="P63" s="37">
        <f>IF('Cap Pricer'!$G$27=DataValidation!$B$2,'Vols - Forward Curve'!I63,IF('Cap Pricer'!$G$27=DataValidation!$B$3,'Vols - Forward Curve'!H63,IF('Cap Pricer'!$G$27=DataValidation!$B$4,'Vols - Forward Curve'!D63,IF('Cap Pricer'!$G$27=DataValidation!$B$5,'Vols - Forward Curve'!G63,IF('Cap Pricer'!$G$27=DataValidation!$B$6,'Vols - Forward Curve'!F63,IF('Cap Pricer'!$G$27=DataValidation!$B$8,'Vols - Forward Curve'!K63,IF('Cap Pricer'!$G$27=DataValidation!$B$9,'Vols - Forward Curve'!L63,IF('Cap Pricer'!$G$27=DataValidation!$B$10,'Vols - Forward Curve'!M63,IF('Cap Pricer'!$G$27=DataValidation!$B$11,'Vols - Forward Curve'!N63,"")))))))))</f>
        <v>2.92351E-2</v>
      </c>
      <c r="S63" s="177">
        <f t="shared" si="7"/>
        <v>46866</v>
      </c>
      <c r="T63" s="172">
        <v>2.5000000000000001E-2</v>
      </c>
    </row>
    <row r="64" spans="1:20">
      <c r="A64" s="33">
        <f>Volatilities_Resets!C66</f>
        <v>46896</v>
      </c>
      <c r="B64" s="130">
        <f>Volatilities_Resets!AC66/100</f>
        <v>1.1720999999999999</v>
      </c>
      <c r="C64" s="37"/>
      <c r="D64" s="130">
        <f>Volatilities_Resets!E66/100</f>
        <v>2.92375E-2</v>
      </c>
      <c r="E64" s="34"/>
      <c r="F64" s="37">
        <f t="shared" si="1"/>
        <v>-0.1277209282147985</v>
      </c>
      <c r="G64" s="37">
        <f t="shared" si="2"/>
        <v>-4.9241714107399248E-2</v>
      </c>
      <c r="H64" s="37">
        <f t="shared" si="3"/>
        <v>0.10771671410739925</v>
      </c>
      <c r="I64" s="37">
        <f t="shared" si="4"/>
        <v>0.1861959282147985</v>
      </c>
      <c r="K64" s="37">
        <f t="shared" si="8"/>
        <v>2.5000000000000001E-2</v>
      </c>
      <c r="L64" s="34">
        <v>0.06</v>
      </c>
      <c r="M64" s="27">
        <f t="shared" si="5"/>
        <v>3.1737500000000002E-2</v>
      </c>
      <c r="N64" s="37">
        <f t="shared" si="6"/>
        <v>3.4237499999999997E-2</v>
      </c>
      <c r="P64" s="37">
        <f>IF('Cap Pricer'!$G$27=DataValidation!$B$2,'Vols - Forward Curve'!I64,IF('Cap Pricer'!$G$27=DataValidation!$B$3,'Vols - Forward Curve'!H64,IF('Cap Pricer'!$G$27=DataValidation!$B$4,'Vols - Forward Curve'!D64,IF('Cap Pricer'!$G$27=DataValidation!$B$5,'Vols - Forward Curve'!G64,IF('Cap Pricer'!$G$27=DataValidation!$B$6,'Vols - Forward Curve'!F64,IF('Cap Pricer'!$G$27=DataValidation!$B$8,'Vols - Forward Curve'!K64,IF('Cap Pricer'!$G$27=DataValidation!$B$9,'Vols - Forward Curve'!L64,IF('Cap Pricer'!$G$27=DataValidation!$B$10,'Vols - Forward Curve'!M64,IF('Cap Pricer'!$G$27=DataValidation!$B$11,'Vols - Forward Curve'!N64,"")))))))))</f>
        <v>2.92375E-2</v>
      </c>
      <c r="S64" s="177">
        <f t="shared" si="7"/>
        <v>46896</v>
      </c>
      <c r="T64" s="172">
        <v>2.5000000000000001E-2</v>
      </c>
    </row>
    <row r="65" spans="1:20">
      <c r="A65" s="33">
        <f>Volatilities_Resets!C67</f>
        <v>46927</v>
      </c>
      <c r="B65" s="130">
        <f>Volatilities_Resets!AC67/100</f>
        <v>1.1720999999999999</v>
      </c>
      <c r="C65" s="37"/>
      <c r="D65" s="130">
        <f>Volatilities_Resets!E67/100</f>
        <v>2.92351E-2</v>
      </c>
      <c r="E65" s="34"/>
      <c r="F65" s="37">
        <f t="shared" si="1"/>
        <v>-0.12899368100618033</v>
      </c>
      <c r="G65" s="37">
        <f t="shared" si="2"/>
        <v>-4.9879290503090173E-2</v>
      </c>
      <c r="H65" s="37">
        <f t="shared" si="3"/>
        <v>0.10834949050309017</v>
      </c>
      <c r="I65" s="37">
        <f t="shared" si="4"/>
        <v>0.18746388100618033</v>
      </c>
      <c r="K65" s="37">
        <f t="shared" si="8"/>
        <v>2.5000000000000001E-2</v>
      </c>
      <c r="L65" s="34">
        <v>0.06</v>
      </c>
      <c r="M65" s="27">
        <f t="shared" si="5"/>
        <v>3.1735100000000002E-2</v>
      </c>
      <c r="N65" s="37">
        <f t="shared" si="6"/>
        <v>3.4235099999999997E-2</v>
      </c>
      <c r="P65" s="37">
        <f>IF('Cap Pricer'!$G$27=DataValidation!$B$2,'Vols - Forward Curve'!I65,IF('Cap Pricer'!$G$27=DataValidation!$B$3,'Vols - Forward Curve'!H65,IF('Cap Pricer'!$G$27=DataValidation!$B$4,'Vols - Forward Curve'!D65,IF('Cap Pricer'!$G$27=DataValidation!$B$5,'Vols - Forward Curve'!G65,IF('Cap Pricer'!$G$27=DataValidation!$B$6,'Vols - Forward Curve'!F65,IF('Cap Pricer'!$G$27=DataValidation!$B$8,'Vols - Forward Curve'!K65,IF('Cap Pricer'!$G$27=DataValidation!$B$9,'Vols - Forward Curve'!L65,IF('Cap Pricer'!$G$27=DataValidation!$B$10,'Vols - Forward Curve'!M65,IF('Cap Pricer'!$G$27=DataValidation!$B$11,'Vols - Forward Curve'!N65,"")))))))))</f>
        <v>2.92351E-2</v>
      </c>
      <c r="S65" s="177">
        <f t="shared" si="7"/>
        <v>46927</v>
      </c>
      <c r="T65" s="172">
        <v>2.5000000000000001E-2</v>
      </c>
    </row>
    <row r="66" spans="1:20">
      <c r="A66" s="33">
        <f>Volatilities_Resets!C68</f>
        <v>46957</v>
      </c>
      <c r="B66" s="130">
        <f>Volatilities_Resets!AC68/100</f>
        <v>1.1720999999999999</v>
      </c>
      <c r="C66" s="37"/>
      <c r="D66" s="130">
        <f>Volatilities_Resets!E68/100</f>
        <v>2.9238699999999999E-2</v>
      </c>
      <c r="E66" s="34"/>
      <c r="F66" s="37">
        <f t="shared" si="1"/>
        <v>-0.13024172709939666</v>
      </c>
      <c r="G66" s="37">
        <f t="shared" si="2"/>
        <v>-5.0501513549698326E-2</v>
      </c>
      <c r="H66" s="37">
        <f t="shared" si="3"/>
        <v>0.10897891354969833</v>
      </c>
      <c r="I66" s="37">
        <f t="shared" si="4"/>
        <v>0.18871912709939664</v>
      </c>
      <c r="K66" s="37">
        <f t="shared" ref="K66:K85" si="9">VLOOKUP(A66,$S$2:$T$134,2,FALSE)</f>
        <v>2.5000000000000001E-2</v>
      </c>
      <c r="L66" s="34">
        <v>0.06</v>
      </c>
      <c r="M66" s="27">
        <f t="shared" si="5"/>
        <v>3.1738700000000002E-2</v>
      </c>
      <c r="N66" s="37">
        <f t="shared" si="6"/>
        <v>3.4238699999999997E-2</v>
      </c>
      <c r="P66" s="37">
        <f>IF('Cap Pricer'!$G$27=DataValidation!$B$2,'Vols - Forward Curve'!I66,IF('Cap Pricer'!$G$27=DataValidation!$B$3,'Vols - Forward Curve'!H66,IF('Cap Pricer'!$G$27=DataValidation!$B$4,'Vols - Forward Curve'!D66,IF('Cap Pricer'!$G$27=DataValidation!$B$5,'Vols - Forward Curve'!G66,IF('Cap Pricer'!$G$27=DataValidation!$B$6,'Vols - Forward Curve'!F66,IF('Cap Pricer'!$G$27=DataValidation!$B$8,'Vols - Forward Curve'!K66,IF('Cap Pricer'!$G$27=DataValidation!$B$9,'Vols - Forward Curve'!L66,IF('Cap Pricer'!$G$27=DataValidation!$B$10,'Vols - Forward Curve'!M66,IF('Cap Pricer'!$G$27=DataValidation!$B$11,'Vols - Forward Curve'!N66,"")))))))))</f>
        <v>2.9238699999999999E-2</v>
      </c>
      <c r="S66" s="177">
        <f t="shared" si="7"/>
        <v>46957</v>
      </c>
      <c r="T66" s="172">
        <v>2.5000000000000001E-2</v>
      </c>
    </row>
    <row r="67" spans="1:20">
      <c r="A67" s="33">
        <f>Volatilities_Resets!C69</f>
        <v>46988</v>
      </c>
      <c r="B67" s="130">
        <f>Volatilities_Resets!AC69/100</f>
        <v>1.1720999999999999</v>
      </c>
      <c r="C67" s="37"/>
      <c r="D67" s="130">
        <f>Volatilities_Resets!E69/100</f>
        <v>2.9236300000000003E-2</v>
      </c>
      <c r="E67" s="34"/>
      <c r="F67" s="37">
        <f t="shared" ref="F67:F85" si="10">$D67*(1-(SQRT(YEARFRAC($A$2,$A67,2))*(2*$B67)))</f>
        <v>-0.13149424451112887</v>
      </c>
      <c r="G67" s="37">
        <f t="shared" ref="G67:G85" si="11">$D67*(1-(SQRT(YEARFRAC($A$2,$A67,2))*(1*$B67)))</f>
        <v>-5.1128972255564432E-2</v>
      </c>
      <c r="H67" s="37">
        <f t="shared" ref="H67:H85" si="12">$D67*(1+(SQRT(YEARFRAC($A$2,$A67,2))*(1*$B67)))</f>
        <v>0.10960157225556444</v>
      </c>
      <c r="I67" s="37">
        <f t="shared" ref="I67:I85" si="13">$D67*(1+(SQRT(YEARFRAC($A$2,$A67,2))*(2*$B67)))</f>
        <v>0.18996684451112886</v>
      </c>
      <c r="K67" s="37">
        <f t="shared" si="9"/>
        <v>2.5000000000000001E-2</v>
      </c>
      <c r="L67" s="34">
        <v>0.06</v>
      </c>
      <c r="M67" s="27">
        <f t="shared" ref="M67:M85" si="14">D67+0.25%</f>
        <v>3.1736300000000002E-2</v>
      </c>
      <c r="N67" s="37">
        <f t="shared" ref="N67:N85" si="15">D67+0.5%</f>
        <v>3.4236300000000004E-2</v>
      </c>
      <c r="P67" s="37">
        <f>IF('Cap Pricer'!$G$27=DataValidation!$B$2,'Vols - Forward Curve'!I67,IF('Cap Pricer'!$G$27=DataValidation!$B$3,'Vols - Forward Curve'!H67,IF('Cap Pricer'!$G$27=DataValidation!$B$4,'Vols - Forward Curve'!D67,IF('Cap Pricer'!$G$27=DataValidation!$B$5,'Vols - Forward Curve'!G67,IF('Cap Pricer'!$G$27=DataValidation!$B$6,'Vols - Forward Curve'!F67,IF('Cap Pricer'!$G$27=DataValidation!$B$8,'Vols - Forward Curve'!K67,IF('Cap Pricer'!$G$27=DataValidation!$B$9,'Vols - Forward Curve'!L67,IF('Cap Pricer'!$G$27=DataValidation!$B$10,'Vols - Forward Curve'!M67,IF('Cap Pricer'!$G$27=DataValidation!$B$11,'Vols - Forward Curve'!N67,"")))))))))</f>
        <v>2.9236300000000003E-2</v>
      </c>
      <c r="S67" s="177">
        <f t="shared" si="7"/>
        <v>46988</v>
      </c>
      <c r="T67" s="172">
        <v>2.5000000000000001E-2</v>
      </c>
    </row>
    <row r="68" spans="1:20">
      <c r="A68" s="33">
        <f>Volatilities_Resets!C70</f>
        <v>47019</v>
      </c>
      <c r="B68" s="130">
        <f>Volatilities_Resets!AC70/100</f>
        <v>1.1720999999999999</v>
      </c>
      <c r="C68" s="37"/>
      <c r="D68" s="130">
        <f>Volatilities_Resets!E70/100</f>
        <v>2.92351E-2</v>
      </c>
      <c r="E68" s="34"/>
      <c r="F68" s="37">
        <f t="shared" si="10"/>
        <v>-0.13274215330035413</v>
      </c>
      <c r="G68" s="37">
        <f t="shared" si="11"/>
        <v>-5.1753526650177059E-2</v>
      </c>
      <c r="H68" s="37">
        <f t="shared" si="12"/>
        <v>0.11022372665017706</v>
      </c>
      <c r="I68" s="37">
        <f t="shared" si="13"/>
        <v>0.19121235330035413</v>
      </c>
      <c r="K68" s="37">
        <f t="shared" si="9"/>
        <v>2.5000000000000001E-2</v>
      </c>
      <c r="L68" s="34">
        <v>0.06</v>
      </c>
      <c r="M68" s="27">
        <f t="shared" si="14"/>
        <v>3.1735100000000002E-2</v>
      </c>
      <c r="N68" s="37">
        <f t="shared" si="15"/>
        <v>3.4235099999999997E-2</v>
      </c>
      <c r="P68" s="37">
        <f>IF('Cap Pricer'!$G$27=DataValidation!$B$2,'Vols - Forward Curve'!I68,IF('Cap Pricer'!$G$27=DataValidation!$B$3,'Vols - Forward Curve'!H68,IF('Cap Pricer'!$G$27=DataValidation!$B$4,'Vols - Forward Curve'!D68,IF('Cap Pricer'!$G$27=DataValidation!$B$5,'Vols - Forward Curve'!G68,IF('Cap Pricer'!$G$27=DataValidation!$B$6,'Vols - Forward Curve'!F68,IF('Cap Pricer'!$G$27=DataValidation!$B$8,'Vols - Forward Curve'!K68,IF('Cap Pricer'!$G$27=DataValidation!$B$9,'Vols - Forward Curve'!L68,IF('Cap Pricer'!$G$27=DataValidation!$B$10,'Vols - Forward Curve'!M68,IF('Cap Pricer'!$G$27=DataValidation!$B$11,'Vols - Forward Curve'!N68,"")))))))))</f>
        <v>2.92351E-2</v>
      </c>
      <c r="S68" s="177">
        <f t="shared" ref="S68:S86" si="16">EDATE(S67,1)</f>
        <v>47019</v>
      </c>
      <c r="T68" s="172">
        <v>2.5000000000000001E-2</v>
      </c>
    </row>
    <row r="69" spans="1:20">
      <c r="A69" s="33">
        <f>Volatilities_Resets!C71</f>
        <v>47049</v>
      </c>
      <c r="B69" s="130">
        <f>Volatilities_Resets!AC71/100</f>
        <v>1.1720999999999999</v>
      </c>
      <c r="C69" s="37"/>
      <c r="D69" s="130">
        <f>Volatilities_Resets!E71/100</f>
        <v>2.9238699999999999E-2</v>
      </c>
      <c r="E69" s="34"/>
      <c r="F69" s="37">
        <f t="shared" si="10"/>
        <v>-0.13396235912340304</v>
      </c>
      <c r="G69" s="37">
        <f t="shared" si="11"/>
        <v>-5.2361829561701524E-2</v>
      </c>
      <c r="H69" s="37">
        <f t="shared" si="12"/>
        <v>0.11083922956170153</v>
      </c>
      <c r="I69" s="37">
        <f t="shared" si="13"/>
        <v>0.19243975912340305</v>
      </c>
      <c r="K69" s="37">
        <f t="shared" si="9"/>
        <v>2.5000000000000001E-2</v>
      </c>
      <c r="L69" s="34">
        <v>0.06</v>
      </c>
      <c r="M69" s="27">
        <f t="shared" si="14"/>
        <v>3.1738700000000002E-2</v>
      </c>
      <c r="N69" s="37">
        <f t="shared" si="15"/>
        <v>3.4238699999999997E-2</v>
      </c>
      <c r="P69" s="37">
        <f>IF('Cap Pricer'!$G$27=DataValidation!$B$2,'Vols - Forward Curve'!I69,IF('Cap Pricer'!$G$27=DataValidation!$B$3,'Vols - Forward Curve'!H69,IF('Cap Pricer'!$G$27=DataValidation!$B$4,'Vols - Forward Curve'!D69,IF('Cap Pricer'!$G$27=DataValidation!$B$5,'Vols - Forward Curve'!G69,IF('Cap Pricer'!$G$27=DataValidation!$B$6,'Vols - Forward Curve'!F69,IF('Cap Pricer'!$G$27=DataValidation!$B$8,'Vols - Forward Curve'!K69,IF('Cap Pricer'!$G$27=DataValidation!$B$9,'Vols - Forward Curve'!L69,IF('Cap Pricer'!$G$27=DataValidation!$B$10,'Vols - Forward Curve'!M69,IF('Cap Pricer'!$G$27=DataValidation!$B$11,'Vols - Forward Curve'!N69,"")))))))))</f>
        <v>2.9238699999999999E-2</v>
      </c>
      <c r="S69" s="177">
        <f t="shared" si="16"/>
        <v>47049</v>
      </c>
      <c r="T69" s="172">
        <v>2.5000000000000001E-2</v>
      </c>
    </row>
    <row r="70" spans="1:20">
      <c r="A70" s="33">
        <f>Volatilities_Resets!C72</f>
        <v>47080</v>
      </c>
      <c r="B70" s="130">
        <f>Volatilities_Resets!AC72/100</f>
        <v>1.1720999999999999</v>
      </c>
      <c r="C70" s="37"/>
      <c r="D70" s="130">
        <f>Volatilities_Resets!E72/100</f>
        <v>2.92351E-2</v>
      </c>
      <c r="E70" s="34"/>
      <c r="F70" s="37">
        <f t="shared" si="10"/>
        <v>-0.13518044275373339</v>
      </c>
      <c r="G70" s="37">
        <f t="shared" si="11"/>
        <v>-5.297267137686669E-2</v>
      </c>
      <c r="H70" s="37">
        <f t="shared" si="12"/>
        <v>0.11144287137686669</v>
      </c>
      <c r="I70" s="37">
        <f t="shared" si="13"/>
        <v>0.19365064275373339</v>
      </c>
      <c r="K70" s="37">
        <f t="shared" si="9"/>
        <v>2.5000000000000001E-2</v>
      </c>
      <c r="L70" s="34">
        <v>0.06</v>
      </c>
      <c r="M70" s="27">
        <f t="shared" si="14"/>
        <v>3.1735100000000002E-2</v>
      </c>
      <c r="N70" s="37">
        <f t="shared" si="15"/>
        <v>3.4235099999999997E-2</v>
      </c>
      <c r="P70" s="37">
        <f>IF('Cap Pricer'!$G$27=DataValidation!$B$2,'Vols - Forward Curve'!I70,IF('Cap Pricer'!$G$27=DataValidation!$B$3,'Vols - Forward Curve'!H70,IF('Cap Pricer'!$G$27=DataValidation!$B$4,'Vols - Forward Curve'!D70,IF('Cap Pricer'!$G$27=DataValidation!$B$5,'Vols - Forward Curve'!G70,IF('Cap Pricer'!$G$27=DataValidation!$B$6,'Vols - Forward Curve'!F70,IF('Cap Pricer'!$G$27=DataValidation!$B$8,'Vols - Forward Curve'!K70,IF('Cap Pricer'!$G$27=DataValidation!$B$9,'Vols - Forward Curve'!L70,IF('Cap Pricer'!$G$27=DataValidation!$B$10,'Vols - Forward Curve'!M70,IF('Cap Pricer'!$G$27=DataValidation!$B$11,'Vols - Forward Curve'!N70,"")))))))))</f>
        <v>2.92351E-2</v>
      </c>
      <c r="S70" s="177">
        <f t="shared" si="16"/>
        <v>47080</v>
      </c>
      <c r="T70" s="172">
        <v>2.5000000000000001E-2</v>
      </c>
    </row>
    <row r="71" spans="1:20">
      <c r="A71" s="33">
        <f>Volatilities_Resets!C73</f>
        <v>47110</v>
      </c>
      <c r="B71" s="130">
        <f>Volatilities_Resets!AC73/100</f>
        <v>1.1694</v>
      </c>
      <c r="C71" s="37"/>
      <c r="D71" s="130">
        <f>Volatilities_Resets!E73/100</f>
        <v>2.92375E-2</v>
      </c>
      <c r="E71" s="34"/>
      <c r="F71" s="37">
        <f t="shared" si="10"/>
        <v>-0.13599612296525249</v>
      </c>
      <c r="G71" s="37">
        <f t="shared" si="11"/>
        <v>-5.3379311482626236E-2</v>
      </c>
      <c r="H71" s="37">
        <f t="shared" si="12"/>
        <v>0.11185431148262624</v>
      </c>
      <c r="I71" s="37">
        <f t="shared" si="13"/>
        <v>0.19447112296525249</v>
      </c>
      <c r="K71" s="37">
        <f t="shared" si="9"/>
        <v>2.5000000000000001E-2</v>
      </c>
      <c r="L71" s="34">
        <v>0.06</v>
      </c>
      <c r="M71" s="27">
        <f t="shared" si="14"/>
        <v>3.1737500000000002E-2</v>
      </c>
      <c r="N71" s="37">
        <f t="shared" si="15"/>
        <v>3.4237499999999997E-2</v>
      </c>
      <c r="P71" s="37">
        <f>IF('Cap Pricer'!$G$27=DataValidation!$B$2,'Vols - Forward Curve'!I71,IF('Cap Pricer'!$G$27=DataValidation!$B$3,'Vols - Forward Curve'!H71,IF('Cap Pricer'!$G$27=DataValidation!$B$4,'Vols - Forward Curve'!D71,IF('Cap Pricer'!$G$27=DataValidation!$B$5,'Vols - Forward Curve'!G71,IF('Cap Pricer'!$G$27=DataValidation!$B$6,'Vols - Forward Curve'!F71,IF('Cap Pricer'!$G$27=DataValidation!$B$8,'Vols - Forward Curve'!K71,IF('Cap Pricer'!$G$27=DataValidation!$B$9,'Vols - Forward Curve'!L71,IF('Cap Pricer'!$G$27=DataValidation!$B$10,'Vols - Forward Curve'!M71,IF('Cap Pricer'!$G$27=DataValidation!$B$11,'Vols - Forward Curve'!N71,"")))))))))</f>
        <v>2.92375E-2</v>
      </c>
      <c r="S71" s="177">
        <f t="shared" si="16"/>
        <v>47110</v>
      </c>
      <c r="T71" s="172">
        <v>2.5000000000000001E-2</v>
      </c>
    </row>
    <row r="72" spans="1:20">
      <c r="A72" s="33">
        <f>Volatilities_Resets!C74</f>
        <v>47141</v>
      </c>
      <c r="B72" s="130">
        <f>Volatilities_Resets!AC74/100</f>
        <v>1.145</v>
      </c>
      <c r="C72" s="37"/>
      <c r="D72" s="130">
        <f>Volatilities_Resets!E74/100</f>
        <v>2.92375E-2</v>
      </c>
      <c r="E72" s="34"/>
      <c r="F72" s="37">
        <f t="shared" si="10"/>
        <v>-0.13373708900632356</v>
      </c>
      <c r="G72" s="37">
        <f t="shared" si="11"/>
        <v>-5.2249794503161771E-2</v>
      </c>
      <c r="H72" s="37">
        <f t="shared" si="12"/>
        <v>0.11072479450316178</v>
      </c>
      <c r="I72" s="37">
        <f t="shared" si="13"/>
        <v>0.19221208900632356</v>
      </c>
      <c r="K72" s="37">
        <f t="shared" si="9"/>
        <v>2.5000000000000001E-2</v>
      </c>
      <c r="L72" s="34">
        <v>0.06</v>
      </c>
      <c r="M72" s="27">
        <f t="shared" si="14"/>
        <v>3.1737500000000002E-2</v>
      </c>
      <c r="N72" s="37">
        <f t="shared" si="15"/>
        <v>3.4237499999999997E-2</v>
      </c>
      <c r="P72" s="37">
        <f>IF('Cap Pricer'!$G$27=DataValidation!$B$2,'Vols - Forward Curve'!I72,IF('Cap Pricer'!$G$27=DataValidation!$B$3,'Vols - Forward Curve'!H72,IF('Cap Pricer'!$G$27=DataValidation!$B$4,'Vols - Forward Curve'!D72,IF('Cap Pricer'!$G$27=DataValidation!$B$5,'Vols - Forward Curve'!G72,IF('Cap Pricer'!$G$27=DataValidation!$B$6,'Vols - Forward Curve'!F72,IF('Cap Pricer'!$G$27=DataValidation!$B$8,'Vols - Forward Curve'!K72,IF('Cap Pricer'!$G$27=DataValidation!$B$9,'Vols - Forward Curve'!L72,IF('Cap Pricer'!$G$27=DataValidation!$B$10,'Vols - Forward Curve'!M72,IF('Cap Pricer'!$G$27=DataValidation!$B$11,'Vols - Forward Curve'!N72,"")))))))))</f>
        <v>2.92375E-2</v>
      </c>
      <c r="S72" s="177">
        <f t="shared" si="16"/>
        <v>47141</v>
      </c>
      <c r="T72" s="172">
        <v>2.5000000000000001E-2</v>
      </c>
    </row>
    <row r="73" spans="1:20">
      <c r="A73" s="33">
        <f>Volatilities_Resets!C75</f>
        <v>47172</v>
      </c>
      <c r="B73" s="130">
        <f>Volatilities_Resets!AC75/100</f>
        <v>1.1176000000000001</v>
      </c>
      <c r="C73" s="37"/>
      <c r="D73" s="130">
        <f>Volatilities_Resets!E75/100</f>
        <v>2.92327E-2</v>
      </c>
      <c r="E73" s="34"/>
      <c r="F73" s="37">
        <f t="shared" si="10"/>
        <v>-0.13096736806154588</v>
      </c>
      <c r="G73" s="37">
        <f t="shared" si="11"/>
        <v>-5.0867334030772947E-2</v>
      </c>
      <c r="H73" s="37">
        <f t="shared" si="12"/>
        <v>0.10933273403077294</v>
      </c>
      <c r="I73" s="37">
        <f t="shared" si="13"/>
        <v>0.18943276806154588</v>
      </c>
      <c r="K73" s="37">
        <f t="shared" si="9"/>
        <v>2.5000000000000001E-2</v>
      </c>
      <c r="L73" s="34">
        <v>0.06</v>
      </c>
      <c r="M73" s="27">
        <f t="shared" si="14"/>
        <v>3.1732700000000003E-2</v>
      </c>
      <c r="N73" s="37">
        <f t="shared" si="15"/>
        <v>3.4232699999999998E-2</v>
      </c>
      <c r="P73" s="37">
        <f>IF('Cap Pricer'!$G$27=DataValidation!$B$2,'Vols - Forward Curve'!I73,IF('Cap Pricer'!$G$27=DataValidation!$B$3,'Vols - Forward Curve'!H73,IF('Cap Pricer'!$G$27=DataValidation!$B$4,'Vols - Forward Curve'!D73,IF('Cap Pricer'!$G$27=DataValidation!$B$5,'Vols - Forward Curve'!G73,IF('Cap Pricer'!$G$27=DataValidation!$B$6,'Vols - Forward Curve'!F73,IF('Cap Pricer'!$G$27=DataValidation!$B$8,'Vols - Forward Curve'!K73,IF('Cap Pricer'!$G$27=DataValidation!$B$9,'Vols - Forward Curve'!L73,IF('Cap Pricer'!$G$27=DataValidation!$B$10,'Vols - Forward Curve'!M73,IF('Cap Pricer'!$G$27=DataValidation!$B$11,'Vols - Forward Curve'!N73,"")))))))))</f>
        <v>2.92327E-2</v>
      </c>
      <c r="S73" s="177">
        <f t="shared" si="16"/>
        <v>47172</v>
      </c>
      <c r="T73" s="172">
        <v>2.5000000000000001E-2</v>
      </c>
    </row>
    <row r="74" spans="1:20">
      <c r="A74" s="33">
        <f>Volatilities_Resets!C76</f>
        <v>47200</v>
      </c>
      <c r="B74" s="130">
        <f>Volatilities_Resets!AC76/100</f>
        <v>1.0911</v>
      </c>
      <c r="C74" s="37"/>
      <c r="D74" s="130">
        <f>Volatilities_Resets!E76/100</f>
        <v>2.96241E-2</v>
      </c>
      <c r="E74" s="34"/>
      <c r="F74" s="37">
        <f t="shared" si="10"/>
        <v>-0.1298935492637929</v>
      </c>
      <c r="G74" s="37">
        <f t="shared" si="11"/>
        <v>-5.0134724631896443E-2</v>
      </c>
      <c r="H74" s="37">
        <f t="shared" si="12"/>
        <v>0.10938292463189644</v>
      </c>
      <c r="I74" s="37">
        <f t="shared" si="13"/>
        <v>0.1891417492637929</v>
      </c>
      <c r="K74" s="37">
        <f t="shared" si="9"/>
        <v>2.5000000000000001E-2</v>
      </c>
      <c r="L74" s="34">
        <v>0.06</v>
      </c>
      <c r="M74" s="27">
        <f t="shared" si="14"/>
        <v>3.2124100000000003E-2</v>
      </c>
      <c r="N74" s="37">
        <f t="shared" si="15"/>
        <v>3.4624099999999998E-2</v>
      </c>
      <c r="P74" s="37">
        <f>IF('Cap Pricer'!$G$27=DataValidation!$B$2,'Vols - Forward Curve'!I74,IF('Cap Pricer'!$G$27=DataValidation!$B$3,'Vols - Forward Curve'!H74,IF('Cap Pricer'!$G$27=DataValidation!$B$4,'Vols - Forward Curve'!D74,IF('Cap Pricer'!$G$27=DataValidation!$B$5,'Vols - Forward Curve'!G74,IF('Cap Pricer'!$G$27=DataValidation!$B$6,'Vols - Forward Curve'!F74,IF('Cap Pricer'!$G$27=DataValidation!$B$8,'Vols - Forward Curve'!K74,IF('Cap Pricer'!$G$27=DataValidation!$B$9,'Vols - Forward Curve'!L74,IF('Cap Pricer'!$G$27=DataValidation!$B$10,'Vols - Forward Curve'!M74,IF('Cap Pricer'!$G$27=DataValidation!$B$11,'Vols - Forward Curve'!N74,"")))))))))</f>
        <v>2.96241E-2</v>
      </c>
      <c r="S74" s="177">
        <f t="shared" si="16"/>
        <v>47200</v>
      </c>
      <c r="T74" s="172">
        <v>2.5000000000000001E-2</v>
      </c>
    </row>
    <row r="75" spans="1:20">
      <c r="A75" s="33">
        <f>Volatilities_Resets!C77</f>
        <v>47231</v>
      </c>
      <c r="B75" s="130">
        <f>Volatilities_Resets!AC77/100</f>
        <v>1.091</v>
      </c>
      <c r="C75" s="37"/>
      <c r="D75" s="130">
        <f>Volatilities_Resets!E77/100</f>
        <v>2.9649600000000002E-2</v>
      </c>
      <c r="E75" s="34"/>
      <c r="F75" s="37">
        <f t="shared" si="10"/>
        <v>-0.13111560769789193</v>
      </c>
      <c r="G75" s="37">
        <f t="shared" si="11"/>
        <v>-5.0733003848945968E-2</v>
      </c>
      <c r="H75" s="37">
        <f t="shared" si="12"/>
        <v>0.11003220384894598</v>
      </c>
      <c r="I75" s="37">
        <f t="shared" si="13"/>
        <v>0.19041480769789196</v>
      </c>
      <c r="K75" s="37">
        <f t="shared" si="9"/>
        <v>2.5000000000000001E-2</v>
      </c>
      <c r="L75" s="34">
        <v>0.06</v>
      </c>
      <c r="M75" s="27">
        <f t="shared" si="14"/>
        <v>3.21496E-2</v>
      </c>
      <c r="N75" s="37">
        <f t="shared" si="15"/>
        <v>3.4649600000000003E-2</v>
      </c>
      <c r="P75" s="37">
        <f>IF('Cap Pricer'!$G$27=DataValidation!$B$2,'Vols - Forward Curve'!I75,IF('Cap Pricer'!$G$27=DataValidation!$B$3,'Vols - Forward Curve'!H75,IF('Cap Pricer'!$G$27=DataValidation!$B$4,'Vols - Forward Curve'!D75,IF('Cap Pricer'!$G$27=DataValidation!$B$5,'Vols - Forward Curve'!G75,IF('Cap Pricer'!$G$27=DataValidation!$B$6,'Vols - Forward Curve'!F75,IF('Cap Pricer'!$G$27=DataValidation!$B$8,'Vols - Forward Curve'!K75,IF('Cap Pricer'!$G$27=DataValidation!$B$9,'Vols - Forward Curve'!L75,IF('Cap Pricer'!$G$27=DataValidation!$B$10,'Vols - Forward Curve'!M75,IF('Cap Pricer'!$G$27=DataValidation!$B$11,'Vols - Forward Curve'!N75,"")))))))))</f>
        <v>2.9649600000000002E-2</v>
      </c>
      <c r="S75" s="177">
        <f t="shared" si="16"/>
        <v>47231</v>
      </c>
      <c r="T75" s="172">
        <v>2.5000000000000001E-2</v>
      </c>
    </row>
    <row r="76" spans="1:20">
      <c r="A76" s="33">
        <f>Volatilities_Resets!C78</f>
        <v>47261</v>
      </c>
      <c r="B76" s="130">
        <f>Volatilities_Resets!AC78/100</f>
        <v>1.0911</v>
      </c>
      <c r="C76" s="37"/>
      <c r="D76" s="130">
        <f>Volatilities_Resets!E78/100</f>
        <v>2.9650799999999998E-2</v>
      </c>
      <c r="E76" s="34"/>
      <c r="F76" s="37">
        <f t="shared" si="10"/>
        <v>-0.13221694343689128</v>
      </c>
      <c r="G76" s="37">
        <f t="shared" si="11"/>
        <v>-5.1283071718445643E-2</v>
      </c>
      <c r="H76" s="37">
        <f t="shared" si="12"/>
        <v>0.11058467171844565</v>
      </c>
      <c r="I76" s="37">
        <f t="shared" si="13"/>
        <v>0.19151854343689129</v>
      </c>
      <c r="K76" s="37">
        <f t="shared" si="9"/>
        <v>2.5000000000000001E-2</v>
      </c>
      <c r="L76" s="34">
        <v>0.06</v>
      </c>
      <c r="M76" s="27">
        <f t="shared" si="14"/>
        <v>3.21508E-2</v>
      </c>
      <c r="N76" s="37">
        <f t="shared" si="15"/>
        <v>3.4650799999999995E-2</v>
      </c>
      <c r="P76" s="37">
        <f>IF('Cap Pricer'!$G$27=DataValidation!$B$2,'Vols - Forward Curve'!I76,IF('Cap Pricer'!$G$27=DataValidation!$B$3,'Vols - Forward Curve'!H76,IF('Cap Pricer'!$G$27=DataValidation!$B$4,'Vols - Forward Curve'!D76,IF('Cap Pricer'!$G$27=DataValidation!$B$5,'Vols - Forward Curve'!G76,IF('Cap Pricer'!$G$27=DataValidation!$B$6,'Vols - Forward Curve'!F76,IF('Cap Pricer'!$G$27=DataValidation!$B$8,'Vols - Forward Curve'!K76,IF('Cap Pricer'!$G$27=DataValidation!$B$9,'Vols - Forward Curve'!L76,IF('Cap Pricer'!$G$27=DataValidation!$B$10,'Vols - Forward Curve'!M76,IF('Cap Pricer'!$G$27=DataValidation!$B$11,'Vols - Forward Curve'!N76,"")))))))))</f>
        <v>2.9650799999999998E-2</v>
      </c>
      <c r="S76" s="177">
        <f t="shared" si="16"/>
        <v>47261</v>
      </c>
      <c r="T76" s="172">
        <v>2.5000000000000001E-2</v>
      </c>
    </row>
    <row r="77" spans="1:20">
      <c r="A77" s="33">
        <f>Volatilities_Resets!C79</f>
        <v>47292</v>
      </c>
      <c r="B77" s="130">
        <f>Volatilities_Resets!AC79/100</f>
        <v>1.0911</v>
      </c>
      <c r="C77" s="37"/>
      <c r="D77" s="130">
        <f>Volatilities_Resets!E79/100</f>
        <v>2.9649600000000002E-2</v>
      </c>
      <c r="E77" s="34"/>
      <c r="F77" s="37">
        <f t="shared" si="10"/>
        <v>-0.13332134714225538</v>
      </c>
      <c r="G77" s="37">
        <f t="shared" si="11"/>
        <v>-5.1835873571127684E-2</v>
      </c>
      <c r="H77" s="37">
        <f t="shared" si="12"/>
        <v>0.11113507357112769</v>
      </c>
      <c r="I77" s="37">
        <f t="shared" si="13"/>
        <v>0.19262054714225538</v>
      </c>
      <c r="K77" s="37">
        <f t="shared" si="9"/>
        <v>2.5000000000000001E-2</v>
      </c>
      <c r="L77" s="34">
        <v>0.06</v>
      </c>
      <c r="M77" s="27">
        <f t="shared" si="14"/>
        <v>3.21496E-2</v>
      </c>
      <c r="N77" s="37">
        <f t="shared" si="15"/>
        <v>3.4649600000000003E-2</v>
      </c>
      <c r="P77" s="37">
        <f>IF('Cap Pricer'!$G$27=DataValidation!$B$2,'Vols - Forward Curve'!I77,IF('Cap Pricer'!$G$27=DataValidation!$B$3,'Vols - Forward Curve'!H77,IF('Cap Pricer'!$G$27=DataValidation!$B$4,'Vols - Forward Curve'!D77,IF('Cap Pricer'!$G$27=DataValidation!$B$5,'Vols - Forward Curve'!G77,IF('Cap Pricer'!$G$27=DataValidation!$B$6,'Vols - Forward Curve'!F77,IF('Cap Pricer'!$G$27=DataValidation!$B$8,'Vols - Forward Curve'!K77,IF('Cap Pricer'!$G$27=DataValidation!$B$9,'Vols - Forward Curve'!L77,IF('Cap Pricer'!$G$27=DataValidation!$B$10,'Vols - Forward Curve'!M77,IF('Cap Pricer'!$G$27=DataValidation!$B$11,'Vols - Forward Curve'!N77,"")))))))))</f>
        <v>2.9649600000000002E-2</v>
      </c>
      <c r="S77" s="177">
        <f t="shared" si="16"/>
        <v>47292</v>
      </c>
      <c r="T77" s="172">
        <v>2.5000000000000001E-2</v>
      </c>
    </row>
    <row r="78" spans="1:20">
      <c r="A78" s="33">
        <f>Volatilities_Resets!C80</f>
        <v>47322</v>
      </c>
      <c r="B78" s="130">
        <f>Volatilities_Resets!AC80/100</f>
        <v>1.091</v>
      </c>
      <c r="C78" s="37"/>
      <c r="D78" s="130">
        <f>Volatilities_Resets!E80/100</f>
        <v>2.9653200000000001E-2</v>
      </c>
      <c r="E78" s="34"/>
      <c r="F78" s="37">
        <f t="shared" si="10"/>
        <v>-0.13438943621942945</v>
      </c>
      <c r="G78" s="37">
        <f t="shared" si="11"/>
        <v>-5.2368118109714722E-2</v>
      </c>
      <c r="H78" s="37">
        <f t="shared" si="12"/>
        <v>0.11167451810971472</v>
      </c>
      <c r="I78" s="37">
        <f t="shared" si="13"/>
        <v>0.19369583621942943</v>
      </c>
      <c r="K78" s="37">
        <f t="shared" si="9"/>
        <v>2.5000000000000001E-2</v>
      </c>
      <c r="L78" s="34">
        <v>0.06</v>
      </c>
      <c r="M78" s="27">
        <f t="shared" si="14"/>
        <v>3.21532E-2</v>
      </c>
      <c r="N78" s="37">
        <f t="shared" si="15"/>
        <v>3.4653200000000002E-2</v>
      </c>
      <c r="P78" s="37">
        <f>IF('Cap Pricer'!$G$27=DataValidation!$B$2,'Vols - Forward Curve'!I78,IF('Cap Pricer'!$G$27=DataValidation!$B$3,'Vols - Forward Curve'!H78,IF('Cap Pricer'!$G$27=DataValidation!$B$4,'Vols - Forward Curve'!D78,IF('Cap Pricer'!$G$27=DataValidation!$B$5,'Vols - Forward Curve'!G78,IF('Cap Pricer'!$G$27=DataValidation!$B$6,'Vols - Forward Curve'!F78,IF('Cap Pricer'!$G$27=DataValidation!$B$8,'Vols - Forward Curve'!K78,IF('Cap Pricer'!$G$27=DataValidation!$B$9,'Vols - Forward Curve'!L78,IF('Cap Pricer'!$G$27=DataValidation!$B$10,'Vols - Forward Curve'!M78,IF('Cap Pricer'!$G$27=DataValidation!$B$11,'Vols - Forward Curve'!N78,"")))))))))</f>
        <v>2.9653200000000001E-2</v>
      </c>
      <c r="S78" s="177">
        <f t="shared" si="16"/>
        <v>47322</v>
      </c>
      <c r="T78" s="172">
        <v>2.5000000000000001E-2</v>
      </c>
    </row>
    <row r="79" spans="1:20">
      <c r="A79" s="33">
        <f>Volatilities_Resets!C81</f>
        <v>47353</v>
      </c>
      <c r="B79" s="130">
        <f>Volatilities_Resets!AC81/100</f>
        <v>1.091</v>
      </c>
      <c r="C79" s="37"/>
      <c r="D79" s="130">
        <f>Volatilities_Resets!E81/100</f>
        <v>2.9650799999999998E-2</v>
      </c>
      <c r="E79" s="34"/>
      <c r="F79" s="37">
        <f t="shared" si="10"/>
        <v>-0.13547363127968295</v>
      </c>
      <c r="G79" s="37">
        <f t="shared" si="11"/>
        <v>-5.2911415639841482E-2</v>
      </c>
      <c r="H79" s="37">
        <f t="shared" si="12"/>
        <v>0.11221301563984147</v>
      </c>
      <c r="I79" s="37">
        <f t="shared" si="13"/>
        <v>0.19477523127968296</v>
      </c>
      <c r="K79" s="37">
        <f t="shared" si="9"/>
        <v>2.5000000000000001E-2</v>
      </c>
      <c r="L79" s="34">
        <v>0.06</v>
      </c>
      <c r="M79" s="27">
        <f t="shared" si="14"/>
        <v>3.21508E-2</v>
      </c>
      <c r="N79" s="37">
        <f t="shared" si="15"/>
        <v>3.4650799999999995E-2</v>
      </c>
      <c r="P79" s="37">
        <f>IF('Cap Pricer'!$G$27=DataValidation!$B$2,'Vols - Forward Curve'!I79,IF('Cap Pricer'!$G$27=DataValidation!$B$3,'Vols - Forward Curve'!H79,IF('Cap Pricer'!$G$27=DataValidation!$B$4,'Vols - Forward Curve'!D79,IF('Cap Pricer'!$G$27=DataValidation!$B$5,'Vols - Forward Curve'!G79,IF('Cap Pricer'!$G$27=DataValidation!$B$6,'Vols - Forward Curve'!F79,IF('Cap Pricer'!$G$27=DataValidation!$B$8,'Vols - Forward Curve'!K79,IF('Cap Pricer'!$G$27=DataValidation!$B$9,'Vols - Forward Curve'!L79,IF('Cap Pricer'!$G$27=DataValidation!$B$10,'Vols - Forward Curve'!M79,IF('Cap Pricer'!$G$27=DataValidation!$B$11,'Vols - Forward Curve'!N79,"")))))))))</f>
        <v>2.9650799999999998E-2</v>
      </c>
      <c r="S79" s="177">
        <f t="shared" si="16"/>
        <v>47353</v>
      </c>
      <c r="T79" s="172">
        <v>2.5000000000000001E-2</v>
      </c>
    </row>
    <row r="80" spans="1:20">
      <c r="A80" s="33">
        <f>Volatilities_Resets!C82</f>
        <v>47384</v>
      </c>
      <c r="B80" s="130">
        <f>Volatilities_Resets!AC82/100</f>
        <v>1.091</v>
      </c>
      <c r="C80" s="37"/>
      <c r="D80" s="130">
        <f>Volatilities_Resets!E82/100</f>
        <v>2.9649600000000002E-2</v>
      </c>
      <c r="E80" s="34"/>
      <c r="F80" s="37">
        <f t="shared" si="10"/>
        <v>-0.13655596183201962</v>
      </c>
      <c r="G80" s="37">
        <f t="shared" si="11"/>
        <v>-5.3453180916009813E-2</v>
      </c>
      <c r="H80" s="37">
        <f t="shared" si="12"/>
        <v>0.11275238091600982</v>
      </c>
      <c r="I80" s="37">
        <f t="shared" si="13"/>
        <v>0.19585516183201965</v>
      </c>
      <c r="K80" s="37">
        <f t="shared" si="9"/>
        <v>2.5000000000000001E-2</v>
      </c>
      <c r="L80" s="34">
        <v>0.06</v>
      </c>
      <c r="M80" s="27">
        <f t="shared" si="14"/>
        <v>3.21496E-2</v>
      </c>
      <c r="N80" s="37">
        <f t="shared" si="15"/>
        <v>3.4649600000000003E-2</v>
      </c>
      <c r="P80" s="37">
        <f>IF('Cap Pricer'!$G$27=DataValidation!$B$2,'Vols - Forward Curve'!I80,IF('Cap Pricer'!$G$27=DataValidation!$B$3,'Vols - Forward Curve'!H80,IF('Cap Pricer'!$G$27=DataValidation!$B$4,'Vols - Forward Curve'!D80,IF('Cap Pricer'!$G$27=DataValidation!$B$5,'Vols - Forward Curve'!G80,IF('Cap Pricer'!$G$27=DataValidation!$B$6,'Vols - Forward Curve'!F80,IF('Cap Pricer'!$G$27=DataValidation!$B$8,'Vols - Forward Curve'!K80,IF('Cap Pricer'!$G$27=DataValidation!$B$9,'Vols - Forward Curve'!L80,IF('Cap Pricer'!$G$27=DataValidation!$B$10,'Vols - Forward Curve'!M80,IF('Cap Pricer'!$G$27=DataValidation!$B$11,'Vols - Forward Curve'!N80,"")))))))))</f>
        <v>2.9649600000000002E-2</v>
      </c>
      <c r="S80" s="177">
        <f t="shared" si="16"/>
        <v>47384</v>
      </c>
      <c r="T80" s="172">
        <v>2.5000000000000001E-2</v>
      </c>
    </row>
    <row r="81" spans="1:20">
      <c r="A81" s="33">
        <f>Volatilities_Resets!C83</f>
        <v>47414</v>
      </c>
      <c r="B81" s="130">
        <f>Volatilities_Resets!AC83/100</f>
        <v>1.091</v>
      </c>
      <c r="C81" s="37"/>
      <c r="D81" s="130">
        <f>Volatilities_Resets!E83/100</f>
        <v>2.9651999999999998E-2</v>
      </c>
      <c r="E81" s="34"/>
      <c r="F81" s="37">
        <f t="shared" si="10"/>
        <v>-0.13761308625225208</v>
      </c>
      <c r="G81" s="37">
        <f t="shared" si="11"/>
        <v>-5.3980543126126032E-2</v>
      </c>
      <c r="H81" s="37">
        <f t="shared" si="12"/>
        <v>0.11328454312612603</v>
      </c>
      <c r="I81" s="37">
        <f t="shared" si="13"/>
        <v>0.19691708625225207</v>
      </c>
      <c r="K81" s="37">
        <f t="shared" si="9"/>
        <v>2.5000000000000001E-2</v>
      </c>
      <c r="L81" s="34">
        <v>0.06</v>
      </c>
      <c r="M81" s="27">
        <f t="shared" si="14"/>
        <v>3.2152E-2</v>
      </c>
      <c r="N81" s="37">
        <f t="shared" si="15"/>
        <v>3.4651999999999995E-2</v>
      </c>
      <c r="P81" s="37">
        <f>IF('Cap Pricer'!$G$27=DataValidation!$B$2,'Vols - Forward Curve'!I81,IF('Cap Pricer'!$G$27=DataValidation!$B$3,'Vols - Forward Curve'!H81,IF('Cap Pricer'!$G$27=DataValidation!$B$4,'Vols - Forward Curve'!D81,IF('Cap Pricer'!$G$27=DataValidation!$B$5,'Vols - Forward Curve'!G81,IF('Cap Pricer'!$G$27=DataValidation!$B$6,'Vols - Forward Curve'!F81,IF('Cap Pricer'!$G$27=DataValidation!$B$8,'Vols - Forward Curve'!K81,IF('Cap Pricer'!$G$27=DataValidation!$B$9,'Vols - Forward Curve'!L81,IF('Cap Pricer'!$G$27=DataValidation!$B$10,'Vols - Forward Curve'!M81,IF('Cap Pricer'!$G$27=DataValidation!$B$11,'Vols - Forward Curve'!N81,"")))))))))</f>
        <v>2.9651999999999998E-2</v>
      </c>
      <c r="S81" s="177">
        <f t="shared" si="16"/>
        <v>47414</v>
      </c>
      <c r="T81" s="172">
        <v>2.5000000000000001E-2</v>
      </c>
    </row>
    <row r="82" spans="1:20">
      <c r="A82" s="33">
        <f>Volatilities_Resets!C84</f>
        <v>47445</v>
      </c>
      <c r="B82" s="130">
        <f>Volatilities_Resets!AC84/100</f>
        <v>1.091</v>
      </c>
      <c r="C82" s="37"/>
      <c r="D82" s="130">
        <f>Volatilities_Resets!E84/100</f>
        <v>2.9649600000000002E-2</v>
      </c>
      <c r="E82" s="34"/>
      <c r="F82" s="37">
        <f t="shared" si="10"/>
        <v>-0.13867597208625199</v>
      </c>
      <c r="G82" s="37">
        <f t="shared" si="11"/>
        <v>-5.4513186043125994E-2</v>
      </c>
      <c r="H82" s="37">
        <f t="shared" si="12"/>
        <v>0.113812386043126</v>
      </c>
      <c r="I82" s="37">
        <f t="shared" si="13"/>
        <v>0.19797517208625201</v>
      </c>
      <c r="K82" s="37">
        <f t="shared" si="9"/>
        <v>2.5000000000000001E-2</v>
      </c>
      <c r="L82" s="34">
        <v>0.06</v>
      </c>
      <c r="M82" s="27">
        <f t="shared" si="14"/>
        <v>3.21496E-2</v>
      </c>
      <c r="N82" s="37">
        <f t="shared" si="15"/>
        <v>3.4649600000000003E-2</v>
      </c>
      <c r="P82" s="37">
        <f>IF('Cap Pricer'!$G$27=DataValidation!$B$2,'Vols - Forward Curve'!I82,IF('Cap Pricer'!$G$27=DataValidation!$B$3,'Vols - Forward Curve'!H82,IF('Cap Pricer'!$G$27=DataValidation!$B$4,'Vols - Forward Curve'!D82,IF('Cap Pricer'!$G$27=DataValidation!$B$5,'Vols - Forward Curve'!G82,IF('Cap Pricer'!$G$27=DataValidation!$B$6,'Vols - Forward Curve'!F82,IF('Cap Pricer'!$G$27=DataValidation!$B$8,'Vols - Forward Curve'!K82,IF('Cap Pricer'!$G$27=DataValidation!$B$9,'Vols - Forward Curve'!L82,IF('Cap Pricer'!$G$27=DataValidation!$B$10,'Vols - Forward Curve'!M82,IF('Cap Pricer'!$G$27=DataValidation!$B$11,'Vols - Forward Curve'!N82,"")))))))))</f>
        <v>2.9649600000000002E-2</v>
      </c>
      <c r="S82" s="177">
        <f t="shared" si="16"/>
        <v>47445</v>
      </c>
      <c r="T82" s="172">
        <v>2.5000000000000001E-2</v>
      </c>
    </row>
    <row r="83" spans="1:20">
      <c r="A83" s="33">
        <f>Volatilities_Resets!C85</f>
        <v>47475</v>
      </c>
      <c r="B83" s="130">
        <f>Volatilities_Resets!AC85/100</f>
        <v>1.0911999999999999</v>
      </c>
      <c r="C83" s="37"/>
      <c r="D83" s="130">
        <f>Volatilities_Resets!E85/100</f>
        <v>2.9651999999999998E-2</v>
      </c>
      <c r="E83" s="34"/>
      <c r="F83" s="37">
        <f t="shared" si="10"/>
        <v>-0.13975122299832141</v>
      </c>
      <c r="G83" s="37">
        <f t="shared" si="11"/>
        <v>-5.5049611499160704E-2</v>
      </c>
      <c r="H83" s="37">
        <f t="shared" si="12"/>
        <v>0.11435361149916071</v>
      </c>
      <c r="I83" s="37">
        <f t="shared" si="13"/>
        <v>0.1990552229983214</v>
      </c>
      <c r="K83" s="37">
        <f t="shared" si="9"/>
        <v>2.5000000000000001E-2</v>
      </c>
      <c r="L83" s="34">
        <v>0.06</v>
      </c>
      <c r="M83" s="27">
        <f t="shared" si="14"/>
        <v>3.2152E-2</v>
      </c>
      <c r="N83" s="37">
        <f t="shared" si="15"/>
        <v>3.4651999999999995E-2</v>
      </c>
      <c r="P83" s="37">
        <f>IF('Cap Pricer'!$G$27=DataValidation!$B$2,'Vols - Forward Curve'!I83,IF('Cap Pricer'!$G$27=DataValidation!$B$3,'Vols - Forward Curve'!H83,IF('Cap Pricer'!$G$27=DataValidation!$B$4,'Vols - Forward Curve'!D83,IF('Cap Pricer'!$G$27=DataValidation!$B$5,'Vols - Forward Curve'!G83,IF('Cap Pricer'!$G$27=DataValidation!$B$6,'Vols - Forward Curve'!F83,IF('Cap Pricer'!$G$27=DataValidation!$B$8,'Vols - Forward Curve'!K83,IF('Cap Pricer'!$G$27=DataValidation!$B$9,'Vols - Forward Curve'!L83,IF('Cap Pricer'!$G$27=DataValidation!$B$10,'Vols - Forward Curve'!M83,IF('Cap Pricer'!$G$27=DataValidation!$B$11,'Vols - Forward Curve'!N83,"")))))))))</f>
        <v>2.9651999999999998E-2</v>
      </c>
      <c r="S83" s="177">
        <f t="shared" si="16"/>
        <v>47475</v>
      </c>
      <c r="T83" s="172">
        <v>2.5000000000000001E-2</v>
      </c>
    </row>
    <row r="84" spans="1:20">
      <c r="A84" s="33">
        <f>Volatilities_Resets!C86</f>
        <v>47506</v>
      </c>
      <c r="B84" s="130">
        <f>Volatilities_Resets!AC86/100</f>
        <v>1.0972</v>
      </c>
      <c r="C84" s="37"/>
      <c r="D84" s="130">
        <f>Volatilities_Resets!E86/100</f>
        <v>2.9650799999999998E-2</v>
      </c>
      <c r="E84" s="34"/>
      <c r="F84" s="37">
        <f t="shared" si="10"/>
        <v>-0.14174381651771506</v>
      </c>
      <c r="G84" s="37">
        <f t="shared" si="11"/>
        <v>-5.6046508258857534E-2</v>
      </c>
      <c r="H84" s="37">
        <f t="shared" si="12"/>
        <v>0.11534810825885754</v>
      </c>
      <c r="I84" s="37">
        <f t="shared" si="13"/>
        <v>0.20104541651771507</v>
      </c>
      <c r="K84" s="37">
        <f t="shared" si="9"/>
        <v>2.5000000000000001E-2</v>
      </c>
      <c r="L84" s="34">
        <v>0.06</v>
      </c>
      <c r="M84" s="27">
        <f t="shared" si="14"/>
        <v>3.21508E-2</v>
      </c>
      <c r="N84" s="37">
        <f t="shared" si="15"/>
        <v>3.4650799999999995E-2</v>
      </c>
      <c r="P84" s="37">
        <f>IF('Cap Pricer'!$G$27=DataValidation!$B$2,'Vols - Forward Curve'!I84,IF('Cap Pricer'!$G$27=DataValidation!$B$3,'Vols - Forward Curve'!H84,IF('Cap Pricer'!$G$27=DataValidation!$B$4,'Vols - Forward Curve'!D84,IF('Cap Pricer'!$G$27=DataValidation!$B$5,'Vols - Forward Curve'!G84,IF('Cap Pricer'!$G$27=DataValidation!$B$6,'Vols - Forward Curve'!F84,IF('Cap Pricer'!$G$27=DataValidation!$B$8,'Vols - Forward Curve'!K84,IF('Cap Pricer'!$G$27=DataValidation!$B$9,'Vols - Forward Curve'!L84,IF('Cap Pricer'!$G$27=DataValidation!$B$10,'Vols - Forward Curve'!M84,IF('Cap Pricer'!$G$27=DataValidation!$B$11,'Vols - Forward Curve'!N84,"")))))))))</f>
        <v>2.9650799999999998E-2</v>
      </c>
      <c r="S84" s="177">
        <f t="shared" si="16"/>
        <v>47506</v>
      </c>
      <c r="T84" s="172">
        <v>2.5000000000000001E-2</v>
      </c>
    </row>
    <row r="85" spans="1:20">
      <c r="A85" s="33">
        <f>Volatilities_Resets!C87</f>
        <v>47537</v>
      </c>
      <c r="B85" s="130">
        <f>Volatilities_Resets!AC87/100</f>
        <v>1.1037000000000001</v>
      </c>
      <c r="C85" s="37"/>
      <c r="D85" s="130">
        <f>Volatilities_Resets!E87/100</f>
        <v>2.9647100000000003E-2</v>
      </c>
      <c r="E85" s="34"/>
      <c r="F85" s="37">
        <f t="shared" si="10"/>
        <v>-0.14380773922777931</v>
      </c>
      <c r="G85" s="37">
        <f t="shared" si="11"/>
        <v>-5.7080319613889652E-2</v>
      </c>
      <c r="H85" s="37">
        <f t="shared" si="12"/>
        <v>0.11637451961388966</v>
      </c>
      <c r="I85" s="37">
        <f t="shared" si="13"/>
        <v>0.2031019392277793</v>
      </c>
      <c r="K85" s="37">
        <f t="shared" si="9"/>
        <v>2.5000000000000001E-2</v>
      </c>
      <c r="L85" s="34">
        <v>0.06</v>
      </c>
      <c r="M85" s="27">
        <f t="shared" si="14"/>
        <v>3.2147100000000005E-2</v>
      </c>
      <c r="N85" s="37">
        <f t="shared" si="15"/>
        <v>3.46471E-2</v>
      </c>
      <c r="P85" s="37">
        <f>IF('Cap Pricer'!$G$27=DataValidation!$B$2,'Vols - Forward Curve'!I85,IF('Cap Pricer'!$G$27=DataValidation!$B$3,'Vols - Forward Curve'!H85,IF('Cap Pricer'!$G$27=DataValidation!$B$4,'Vols - Forward Curve'!D85,IF('Cap Pricer'!$G$27=DataValidation!$B$5,'Vols - Forward Curve'!G85,IF('Cap Pricer'!$G$27=DataValidation!$B$6,'Vols - Forward Curve'!F85,IF('Cap Pricer'!$G$27=DataValidation!$B$8,'Vols - Forward Curve'!K85,IF('Cap Pricer'!$G$27=DataValidation!$B$9,'Vols - Forward Curve'!L85,IF('Cap Pricer'!$G$27=DataValidation!$B$10,'Vols - Forward Curve'!M85,IF('Cap Pricer'!$G$27=DataValidation!$B$11,'Vols - Forward Curve'!N85,"")))))))))</f>
        <v>2.9647100000000003E-2</v>
      </c>
      <c r="S85" s="177">
        <f t="shared" si="16"/>
        <v>47537</v>
      </c>
      <c r="T85" s="172">
        <v>2.5000000000000001E-2</v>
      </c>
    </row>
    <row r="86" spans="1:20">
      <c r="A86" s="35"/>
      <c r="K86"/>
      <c r="S86" s="177">
        <f t="shared" si="16"/>
        <v>47565</v>
      </c>
      <c r="T86" s="172">
        <v>2.5000000000000001E-2</v>
      </c>
    </row>
    <row r="87" spans="1:20">
      <c r="K87"/>
      <c r="S87" s="40"/>
      <c r="T87" s="166"/>
    </row>
    <row r="88" spans="1:20">
      <c r="K88"/>
      <c r="S88" s="40"/>
      <c r="T88" s="166"/>
    </row>
    <row r="89" spans="1:20">
      <c r="K89"/>
      <c r="S89" s="40"/>
      <c r="T89" s="166"/>
    </row>
    <row r="90" spans="1:20">
      <c r="K90"/>
      <c r="S90" s="40"/>
      <c r="T90" s="166"/>
    </row>
    <row r="91" spans="1:20">
      <c r="K91"/>
      <c r="S91" s="40"/>
      <c r="T91" s="166"/>
    </row>
    <row r="92" spans="1:20">
      <c r="K92"/>
      <c r="S92" s="40"/>
      <c r="T92" s="166"/>
    </row>
    <row r="93" spans="1:20">
      <c r="K93"/>
      <c r="S93" s="40"/>
      <c r="T93" s="166"/>
    </row>
    <row r="94" spans="1:20">
      <c r="K94"/>
      <c r="S94" s="40"/>
      <c r="T94" s="166"/>
    </row>
    <row r="95" spans="1:20">
      <c r="K95"/>
      <c r="S95" s="40"/>
      <c r="T95" s="166"/>
    </row>
    <row r="96" spans="1:20">
      <c r="K96"/>
      <c r="S96" s="40"/>
      <c r="T96" s="166"/>
    </row>
    <row r="97" spans="11:20">
      <c r="K97"/>
      <c r="S97" s="40"/>
      <c r="T97" s="166"/>
    </row>
    <row r="98" spans="11:20">
      <c r="K98"/>
      <c r="S98" s="40"/>
      <c r="T98" s="166"/>
    </row>
    <row r="99" spans="11:20">
      <c r="K99"/>
      <c r="S99" s="40"/>
      <c r="T99" s="166"/>
    </row>
    <row r="100" spans="11:20">
      <c r="K100"/>
      <c r="S100" s="40"/>
      <c r="T100" s="166"/>
    </row>
    <row r="101" spans="11:20">
      <c r="K101"/>
      <c r="S101" s="40"/>
      <c r="T101" s="166"/>
    </row>
    <row r="102" spans="11:20">
      <c r="K102"/>
      <c r="S102" s="40"/>
      <c r="T102" s="166"/>
    </row>
    <row r="103" spans="11:20">
      <c r="K103"/>
      <c r="S103" s="40"/>
      <c r="T103" s="166"/>
    </row>
    <row r="104" spans="11:20">
      <c r="K104"/>
      <c r="S104" s="40"/>
      <c r="T104" s="166"/>
    </row>
    <row r="105" spans="11:20">
      <c r="K105"/>
      <c r="S105" s="40"/>
      <c r="T105" s="166"/>
    </row>
    <row r="106" spans="11:20">
      <c r="K106"/>
      <c r="S106" s="40"/>
      <c r="T106" s="166"/>
    </row>
    <row r="107" spans="11:20">
      <c r="K107"/>
      <c r="S107" s="40"/>
      <c r="T107" s="166"/>
    </row>
    <row r="108" spans="11:20">
      <c r="K108"/>
      <c r="S108" s="40"/>
      <c r="T108" s="166"/>
    </row>
    <row r="109" spans="11:20">
      <c r="K109"/>
      <c r="S109" s="40"/>
      <c r="T109" s="166"/>
    </row>
    <row r="110" spans="11:20">
      <c r="K110"/>
      <c r="S110" s="40"/>
      <c r="T110" s="166"/>
    </row>
    <row r="111" spans="11:20">
      <c r="K111"/>
      <c r="S111" s="40"/>
      <c r="T111" s="166"/>
    </row>
    <row r="112" spans="11:20">
      <c r="K112"/>
      <c r="S112" s="40"/>
      <c r="T112" s="166"/>
    </row>
    <row r="113" spans="11:20">
      <c r="K113"/>
      <c r="S113" s="40"/>
      <c r="T113" s="167"/>
    </row>
    <row r="114" spans="11:20">
      <c r="K114"/>
      <c r="S114" s="40"/>
      <c r="T114" s="167"/>
    </row>
    <row r="115" spans="11:20">
      <c r="K115"/>
      <c r="S115" s="40"/>
      <c r="T115" s="167"/>
    </row>
    <row r="116" spans="11:20">
      <c r="K116"/>
      <c r="S116" s="40"/>
      <c r="T116" s="167"/>
    </row>
    <row r="117" spans="11:20">
      <c r="K117"/>
      <c r="S117" s="40"/>
      <c r="T117" s="167"/>
    </row>
    <row r="118" spans="11:20">
      <c r="K118"/>
      <c r="S118" s="40"/>
      <c r="T118" s="167"/>
    </row>
    <row r="119" spans="11:20">
      <c r="K119"/>
      <c r="S119" s="40"/>
      <c r="T119" s="167"/>
    </row>
    <row r="120" spans="11:20">
      <c r="K120"/>
      <c r="S120" s="40"/>
      <c r="T120" s="167"/>
    </row>
    <row r="121" spans="11:20">
      <c r="S121" s="40"/>
      <c r="T121" s="167"/>
    </row>
    <row r="122" spans="11:20">
      <c r="S122" s="40"/>
      <c r="T122" s="129"/>
    </row>
    <row r="123" spans="11:20">
      <c r="S123" s="40"/>
      <c r="T123" s="129"/>
    </row>
    <row r="124" spans="11:20">
      <c r="S124" s="40"/>
      <c r="T124" s="129"/>
    </row>
    <row r="125" spans="11:20">
      <c r="S125" s="40"/>
      <c r="T125" s="129"/>
    </row>
    <row r="126" spans="11:20">
      <c r="S126" s="40"/>
      <c r="T126" s="129"/>
    </row>
    <row r="127" spans="11:20">
      <c r="S127" s="40"/>
      <c r="T127" s="129"/>
    </row>
    <row r="128" spans="11:20">
      <c r="S128" s="40"/>
      <c r="T128" s="129"/>
    </row>
    <row r="129" spans="19:20">
      <c r="S129" s="40"/>
      <c r="T129" s="129"/>
    </row>
    <row r="130" spans="19:20">
      <c r="S130" s="40"/>
      <c r="T130" s="129"/>
    </row>
    <row r="131" spans="19:20">
      <c r="S131" s="40"/>
      <c r="T131" s="129"/>
    </row>
    <row r="132" spans="19:20">
      <c r="S132" s="40"/>
      <c r="T132" s="129"/>
    </row>
    <row r="133" spans="19:20">
      <c r="S133" s="40"/>
      <c r="T133" s="129"/>
    </row>
    <row r="134" spans="19:20">
      <c r="S134" s="40"/>
      <c r="T134" s="129"/>
    </row>
    <row r="135" spans="19:20">
      <c r="S135" s="40"/>
    </row>
    <row r="136" spans="19:20">
      <c r="S136" s="40"/>
    </row>
    <row r="137" spans="19:20">
      <c r="S137" s="40"/>
    </row>
  </sheetData>
  <sheetProtection algorithmName="SHA-512" hashValue="K3sAJksO8l0lxD6dwlzvs9uSt7IsGk0sLPjFxwp7ybr0tPaPKGmf6+emvDdoRQf3eTfDuZRhxUoKxUIx5MQObw==" saltValue="gtfNMe6pcE8rz7ictHuMW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Cap Pricer</vt:lpstr>
      <vt:lpstr>notional</vt:lpstr>
      <vt:lpstr>StepUp1</vt:lpstr>
      <vt:lpstr>StepUp2</vt:lpstr>
      <vt:lpstr>StepUp3</vt:lpstr>
      <vt:lpstr>StepUp4</vt:lpstr>
      <vt:lpstr>StepUp5</vt:lpstr>
      <vt:lpstr>StepUp6</vt:lpstr>
      <vt:lpstr>StepUp7</vt:lpstr>
      <vt:lpstr>strike</vt:lpstr>
      <vt:lpstr>strikeType</vt:lpstr>
      <vt:lpstr>term</vt:lpstr>
      <vt:lpstr>test</vt:lpstr>
      <vt:lpstr>triggers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Jessie Baron</cp:lastModifiedBy>
  <cp:lastPrinted>2021-06-04T21:57:21Z</cp:lastPrinted>
  <dcterms:created xsi:type="dcterms:W3CDTF">2017-08-31T13:21:22Z</dcterms:created>
  <dcterms:modified xsi:type="dcterms:W3CDTF">2023-03-23T15:09:45Z</dcterms:modified>
</cp:coreProperties>
</file>