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jessi\Dropbox\Cap Pricing Tool\"/>
    </mc:Choice>
  </mc:AlternateContent>
  <xr:revisionPtr revIDLastSave="0" documentId="13_ncr:1_{5BBCBD85-5CFD-4F1F-B2AD-5EDFB8D3B264}" xr6:coauthVersionLast="47" xr6:coauthVersionMax="47" xr10:uidLastSave="{00000000-0000-0000-0000-000000000000}"/>
  <bookViews>
    <workbookView xWindow="28680" yWindow="-120" windowWidth="29040" windowHeight="15720" tabRatio="723" xr2:uid="{00000000-000D-0000-FFFF-FFFF00000000}"/>
  </bookViews>
  <sheets>
    <sheet name="Cap Pricer" sheetId="22" r:id="rId1"/>
    <sheet name="Volatilities_Resets" sheetId="28" state="veryHidden" r:id="rId2"/>
    <sheet name="Calculator" sheetId="7" state="veryHidden" r:id="rId3"/>
    <sheet name="DataValidation" sheetId="26" state="veryHidden" r:id="rId4"/>
    <sheet name="Vols - Forward Curve" sheetId="27" state="veryHidden" r:id="rId5"/>
  </sheets>
  <definedNames>
    <definedName name="_xlnm._FilterDatabase" localSheetId="1" hidden="1">Volatilities_Resets!$B$3:$E$87</definedName>
    <definedName name="notional">'Cap Pricer'!$E$18</definedName>
    <definedName name="StepUp1">'Cap Pricer'!$E$25</definedName>
    <definedName name="StepUp2">'Cap Pricer'!$E$26</definedName>
    <definedName name="StepUp3">'Cap Pricer'!$E$27</definedName>
    <definedName name="StepUp4">'Cap Pricer'!$E$28</definedName>
    <definedName name="StepUp5">'Cap Pricer'!$E$29</definedName>
    <definedName name="StepUp6">'Cap Pricer'!$E$30</definedName>
    <definedName name="StepUp7">'Cap Pricer'!$E$31</definedName>
    <definedName name="strike">'Cap Pricer'!$E$23</definedName>
    <definedName name="strikeType">'Cap Pricer'!$E$22</definedName>
    <definedName name="term">'Cap Pricer'!$E$19</definedName>
    <definedName name="test">DataValidation!$A$14</definedName>
    <definedName name="triggers">'Cap Pricer'!$E$20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5" i="27" l="1"/>
  <c r="N85" i="27" s="1"/>
  <c r="B85" i="27"/>
  <c r="D84" i="27"/>
  <c r="P84" i="27" s="1"/>
  <c r="B84" i="27"/>
  <c r="D83" i="27"/>
  <c r="N83" i="27" s="1"/>
  <c r="B83" i="27"/>
  <c r="D82" i="27"/>
  <c r="M82" i="27" s="1"/>
  <c r="B82" i="27"/>
  <c r="D81" i="27"/>
  <c r="P81" i="27" s="1"/>
  <c r="B81" i="27"/>
  <c r="D80" i="27"/>
  <c r="P80" i="27" s="1"/>
  <c r="B80" i="27"/>
  <c r="D79" i="27"/>
  <c r="P79" i="27" s="1"/>
  <c r="B79" i="27"/>
  <c r="D78" i="27"/>
  <c r="P78" i="27" s="1"/>
  <c r="B78" i="27"/>
  <c r="D77" i="27"/>
  <c r="P77" i="27" s="1"/>
  <c r="B77" i="27"/>
  <c r="D76" i="27"/>
  <c r="P76" i="27" s="1"/>
  <c r="B76" i="27"/>
  <c r="D75" i="27"/>
  <c r="N75" i="27" s="1"/>
  <c r="B75" i="27"/>
  <c r="D74" i="27"/>
  <c r="M74" i="27" s="1"/>
  <c r="B74" i="27"/>
  <c r="D73" i="27"/>
  <c r="P73" i="27" s="1"/>
  <c r="B73" i="27"/>
  <c r="D72" i="27"/>
  <c r="P72" i="27" s="1"/>
  <c r="B72" i="27"/>
  <c r="D71" i="27"/>
  <c r="P71" i="27" s="1"/>
  <c r="B71" i="27"/>
  <c r="D70" i="27"/>
  <c r="P70" i="27" s="1"/>
  <c r="B70" i="27"/>
  <c r="D69" i="27"/>
  <c r="P69" i="27" s="1"/>
  <c r="B69" i="27"/>
  <c r="D68" i="27"/>
  <c r="P68" i="27" s="1"/>
  <c r="B68" i="27"/>
  <c r="D67" i="27"/>
  <c r="N67" i="27" s="1"/>
  <c r="B67" i="27"/>
  <c r="D66" i="27"/>
  <c r="M66" i="27" s="1"/>
  <c r="B66" i="27"/>
  <c r="D65" i="27"/>
  <c r="P65" i="27" s="1"/>
  <c r="B65" i="27"/>
  <c r="D64" i="27"/>
  <c r="P64" i="27" s="1"/>
  <c r="B64" i="27"/>
  <c r="D63" i="27"/>
  <c r="P63" i="27" s="1"/>
  <c r="B63" i="27"/>
  <c r="D62" i="27"/>
  <c r="P62" i="27" s="1"/>
  <c r="B62" i="27"/>
  <c r="D61" i="27"/>
  <c r="N61" i="27" s="1"/>
  <c r="B61" i="27"/>
  <c r="D60" i="27"/>
  <c r="P60" i="27" s="1"/>
  <c r="B60" i="27"/>
  <c r="D59" i="27"/>
  <c r="N59" i="27" s="1"/>
  <c r="B59" i="27"/>
  <c r="D58" i="27"/>
  <c r="M58" i="27" s="1"/>
  <c r="B58" i="27"/>
  <c r="D57" i="27"/>
  <c r="P57" i="27" s="1"/>
  <c r="B57" i="27"/>
  <c r="D56" i="27"/>
  <c r="P56" i="27" s="1"/>
  <c r="B56" i="27"/>
  <c r="D55" i="27"/>
  <c r="P55" i="27" s="1"/>
  <c r="B55" i="27"/>
  <c r="D54" i="27"/>
  <c r="P54" i="27" s="1"/>
  <c r="B54" i="27"/>
  <c r="D53" i="27"/>
  <c r="N53" i="27" s="1"/>
  <c r="B53" i="27"/>
  <c r="D52" i="27"/>
  <c r="P52" i="27" s="1"/>
  <c r="B52" i="27"/>
  <c r="D51" i="27"/>
  <c r="N51" i="27" s="1"/>
  <c r="B51" i="27"/>
  <c r="D50" i="27"/>
  <c r="M50" i="27" s="1"/>
  <c r="B50" i="27"/>
  <c r="D49" i="27"/>
  <c r="P49" i="27" s="1"/>
  <c r="B49" i="27"/>
  <c r="D48" i="27"/>
  <c r="P48" i="27" s="1"/>
  <c r="B48" i="27"/>
  <c r="D47" i="27"/>
  <c r="P47" i="27" s="1"/>
  <c r="B47" i="27"/>
  <c r="D46" i="27"/>
  <c r="P46" i="27" s="1"/>
  <c r="B46" i="27"/>
  <c r="D45" i="27"/>
  <c r="N45" i="27" s="1"/>
  <c r="B45" i="27"/>
  <c r="D44" i="27"/>
  <c r="P44" i="27" s="1"/>
  <c r="B44" i="27"/>
  <c r="D43" i="27"/>
  <c r="N43" i="27" s="1"/>
  <c r="B43" i="27"/>
  <c r="D42" i="27"/>
  <c r="M42" i="27" s="1"/>
  <c r="B42" i="27"/>
  <c r="D41" i="27"/>
  <c r="P41" i="27" s="1"/>
  <c r="B41" i="27"/>
  <c r="D40" i="27"/>
  <c r="P40" i="27" s="1"/>
  <c r="B40" i="27"/>
  <c r="D39" i="27"/>
  <c r="P39" i="27" s="1"/>
  <c r="B39" i="27"/>
  <c r="D38" i="27"/>
  <c r="P38" i="27" s="1"/>
  <c r="B38" i="27"/>
  <c r="D37" i="27"/>
  <c r="N37" i="27" s="1"/>
  <c r="B37" i="27"/>
  <c r="D36" i="27"/>
  <c r="P36" i="27" s="1"/>
  <c r="B36" i="27"/>
  <c r="D35" i="27"/>
  <c r="N35" i="27" s="1"/>
  <c r="B35" i="27"/>
  <c r="D34" i="27"/>
  <c r="M34" i="27" s="1"/>
  <c r="B34" i="27"/>
  <c r="D33" i="27"/>
  <c r="P33" i="27" s="1"/>
  <c r="B33" i="27"/>
  <c r="D32" i="27"/>
  <c r="P32" i="27" s="1"/>
  <c r="B32" i="27"/>
  <c r="D31" i="27"/>
  <c r="P31" i="27" s="1"/>
  <c r="B31" i="27"/>
  <c r="D30" i="27"/>
  <c r="P30" i="27" s="1"/>
  <c r="B30" i="27"/>
  <c r="D29" i="27"/>
  <c r="N29" i="27" s="1"/>
  <c r="B29" i="27"/>
  <c r="D28" i="27"/>
  <c r="P28" i="27" s="1"/>
  <c r="B28" i="27"/>
  <c r="D27" i="27"/>
  <c r="N27" i="27" s="1"/>
  <c r="B27" i="27"/>
  <c r="D26" i="27"/>
  <c r="M26" i="27" s="1"/>
  <c r="B26" i="27"/>
  <c r="D25" i="27"/>
  <c r="P25" i="27" s="1"/>
  <c r="B25" i="27"/>
  <c r="D24" i="27"/>
  <c r="P24" i="27" s="1"/>
  <c r="B24" i="27"/>
  <c r="D23" i="27"/>
  <c r="P23" i="27" s="1"/>
  <c r="B23" i="27"/>
  <c r="D22" i="27"/>
  <c r="P22" i="27" s="1"/>
  <c r="B22" i="27"/>
  <c r="D21" i="27"/>
  <c r="N21" i="27" s="1"/>
  <c r="B21" i="27"/>
  <c r="D20" i="27"/>
  <c r="P20" i="27" s="1"/>
  <c r="B20" i="27"/>
  <c r="D19" i="27"/>
  <c r="N19" i="27" s="1"/>
  <c r="B19" i="27"/>
  <c r="D18" i="27"/>
  <c r="M18" i="27" s="1"/>
  <c r="B18" i="27"/>
  <c r="D17" i="27"/>
  <c r="P17" i="27" s="1"/>
  <c r="B17" i="27"/>
  <c r="D16" i="27"/>
  <c r="P16" i="27" s="1"/>
  <c r="B16" i="27"/>
  <c r="D15" i="27"/>
  <c r="P15" i="27" s="1"/>
  <c r="B15" i="27"/>
  <c r="D14" i="27"/>
  <c r="M14" i="27" s="1"/>
  <c r="B14" i="27"/>
  <c r="D13" i="27"/>
  <c r="N13" i="27" s="1"/>
  <c r="B13" i="27"/>
  <c r="D12" i="27"/>
  <c r="P12" i="27" s="1"/>
  <c r="B12" i="27"/>
  <c r="D11" i="27"/>
  <c r="P11" i="27" s="1"/>
  <c r="B11" i="27"/>
  <c r="D10" i="27"/>
  <c r="M10" i="27" s="1"/>
  <c r="B10" i="27"/>
  <c r="D9" i="27"/>
  <c r="P9" i="27" s="1"/>
  <c r="B9" i="27"/>
  <c r="D8" i="27"/>
  <c r="P8" i="27" s="1"/>
  <c r="B8" i="27"/>
  <c r="D7" i="27"/>
  <c r="P7" i="27" s="1"/>
  <c r="B7" i="27"/>
  <c r="D6" i="27"/>
  <c r="M6" i="27" s="1"/>
  <c r="B6" i="27"/>
  <c r="D5" i="27"/>
  <c r="N5" i="27" s="1"/>
  <c r="B5" i="27"/>
  <c r="D4" i="27"/>
  <c r="P4" i="27" s="1"/>
  <c r="B4" i="27"/>
  <c r="D3" i="27"/>
  <c r="P3" i="27" s="1"/>
  <c r="B3" i="27"/>
  <c r="S2" i="27"/>
  <c r="S3" i="27" s="1"/>
  <c r="S4" i="27" s="1"/>
  <c r="S5" i="27" s="1"/>
  <c r="S6" i="27" s="1"/>
  <c r="S7" i="27" s="1"/>
  <c r="S8" i="27" s="1"/>
  <c r="S9" i="27" s="1"/>
  <c r="S10" i="27" s="1"/>
  <c r="S11" i="27" s="1"/>
  <c r="S12" i="27" s="1"/>
  <c r="S13" i="27" s="1"/>
  <c r="S14" i="27" s="1"/>
  <c r="S15" i="27" s="1"/>
  <c r="S16" i="27" s="1"/>
  <c r="S17" i="27" s="1"/>
  <c r="S18" i="27" s="1"/>
  <c r="S19" i="27" s="1"/>
  <c r="S20" i="27" s="1"/>
  <c r="S21" i="27" s="1"/>
  <c r="S22" i="27" s="1"/>
  <c r="S23" i="27" s="1"/>
  <c r="S24" i="27" s="1"/>
  <c r="S25" i="27" s="1"/>
  <c r="S26" i="27" s="1"/>
  <c r="S27" i="27" s="1"/>
  <c r="S28" i="27" s="1"/>
  <c r="S29" i="27" s="1"/>
  <c r="S30" i="27" s="1"/>
  <c r="S31" i="27" s="1"/>
  <c r="S32" i="27" s="1"/>
  <c r="S33" i="27" s="1"/>
  <c r="S34" i="27" s="1"/>
  <c r="S35" i="27" s="1"/>
  <c r="S36" i="27" s="1"/>
  <c r="S37" i="27" s="1"/>
  <c r="S38" i="27" s="1"/>
  <c r="S39" i="27" s="1"/>
  <c r="S40" i="27" s="1"/>
  <c r="S41" i="27" s="1"/>
  <c r="S42" i="27" s="1"/>
  <c r="S43" i="27" s="1"/>
  <c r="S44" i="27" s="1"/>
  <c r="S45" i="27" s="1"/>
  <c r="S46" i="27" s="1"/>
  <c r="S47" i="27" s="1"/>
  <c r="S48" i="27" s="1"/>
  <c r="S49" i="27" s="1"/>
  <c r="S50" i="27" s="1"/>
  <c r="S51" i="27" s="1"/>
  <c r="S52" i="27" s="1"/>
  <c r="S53" i="27" s="1"/>
  <c r="S54" i="27" s="1"/>
  <c r="S55" i="27" s="1"/>
  <c r="S56" i="27" s="1"/>
  <c r="S57" i="27" s="1"/>
  <c r="S58" i="27" s="1"/>
  <c r="S59" i="27" s="1"/>
  <c r="S60" i="27" s="1"/>
  <c r="S61" i="27" s="1"/>
  <c r="S62" i="27" s="1"/>
  <c r="S63" i="27" s="1"/>
  <c r="S64" i="27" s="1"/>
  <c r="S65" i="27" s="1"/>
  <c r="S66" i="27" s="1"/>
  <c r="S67" i="27" s="1"/>
  <c r="S68" i="27" s="1"/>
  <c r="S69" i="27" s="1"/>
  <c r="S70" i="27" s="1"/>
  <c r="S71" i="27" s="1"/>
  <c r="S72" i="27" s="1"/>
  <c r="S73" i="27" s="1"/>
  <c r="S74" i="27" s="1"/>
  <c r="S75" i="27" s="1"/>
  <c r="S76" i="27" s="1"/>
  <c r="S77" i="27" s="1"/>
  <c r="S78" i="27" s="1"/>
  <c r="S79" i="27" s="1"/>
  <c r="S80" i="27" s="1"/>
  <c r="S81" i="27" s="1"/>
  <c r="S82" i="27" s="1"/>
  <c r="S83" i="27" s="1"/>
  <c r="S84" i="27" s="1"/>
  <c r="S85" i="27" s="1"/>
  <c r="S86" i="27" s="1"/>
  <c r="D2" i="27"/>
  <c r="P2" i="27" s="1"/>
  <c r="B2" i="27"/>
  <c r="A2" i="27"/>
  <c r="R25" i="26"/>
  <c r="L25" i="26"/>
  <c r="R24" i="26"/>
  <c r="L24" i="26"/>
  <c r="R23" i="26"/>
  <c r="L23" i="26"/>
  <c r="R22" i="26"/>
  <c r="L22" i="26"/>
  <c r="I20" i="26"/>
  <c r="L18" i="26"/>
  <c r="L17" i="26"/>
  <c r="L16" i="26"/>
  <c r="L15" i="26"/>
  <c r="I13" i="26"/>
  <c r="Q9" i="22" s="1"/>
  <c r="Q10" i="22" s="1"/>
  <c r="CI98" i="7"/>
  <c r="CH98" i="7"/>
  <c r="CG98" i="7"/>
  <c r="BP98" i="7"/>
  <c r="BO98" i="7"/>
  <c r="BN98" i="7"/>
  <c r="AV98" i="7"/>
  <c r="AC98" i="7"/>
  <c r="J98" i="7"/>
  <c r="I98" i="7"/>
  <c r="K98" i="7" s="1"/>
  <c r="CI97" i="7"/>
  <c r="CH97" i="7"/>
  <c r="CG97" i="7"/>
  <c r="BP97" i="7"/>
  <c r="BO97" i="7"/>
  <c r="BN97" i="7"/>
  <c r="AV97" i="7"/>
  <c r="AC97" i="7"/>
  <c r="J97" i="7"/>
  <c r="I97" i="7"/>
  <c r="K97" i="7" s="1"/>
  <c r="CI96" i="7"/>
  <c r="CH96" i="7"/>
  <c r="CG96" i="7"/>
  <c r="BP96" i="7"/>
  <c r="BO96" i="7"/>
  <c r="BN96" i="7"/>
  <c r="AV96" i="7"/>
  <c r="AC96" i="7"/>
  <c r="J96" i="7"/>
  <c r="I96" i="7"/>
  <c r="K96" i="7" s="1"/>
  <c r="CI95" i="7"/>
  <c r="CH95" i="7"/>
  <c r="CG95" i="7"/>
  <c r="BP95" i="7"/>
  <c r="BO95" i="7"/>
  <c r="BN95" i="7"/>
  <c r="AV95" i="7"/>
  <c r="AC95" i="7"/>
  <c r="J95" i="7"/>
  <c r="I95" i="7"/>
  <c r="K95" i="7" s="1"/>
  <c r="CI94" i="7"/>
  <c r="CH94" i="7"/>
  <c r="CG94" i="7"/>
  <c r="BP94" i="7"/>
  <c r="BO94" i="7"/>
  <c r="BN94" i="7"/>
  <c r="AV94" i="7"/>
  <c r="AC94" i="7"/>
  <c r="J94" i="7"/>
  <c r="I94" i="7"/>
  <c r="K94" i="7" s="1"/>
  <c r="CI93" i="7"/>
  <c r="CH93" i="7"/>
  <c r="CG93" i="7"/>
  <c r="BP93" i="7"/>
  <c r="BO93" i="7"/>
  <c r="BN93" i="7"/>
  <c r="AV93" i="7"/>
  <c r="AC93" i="7"/>
  <c r="J93" i="7"/>
  <c r="I93" i="7"/>
  <c r="K93" i="7" s="1"/>
  <c r="CI92" i="7"/>
  <c r="CH92" i="7"/>
  <c r="CG92" i="7"/>
  <c r="BP92" i="7"/>
  <c r="BO92" i="7"/>
  <c r="BN92" i="7"/>
  <c r="AV92" i="7"/>
  <c r="AC92" i="7"/>
  <c r="J92" i="7"/>
  <c r="I92" i="7"/>
  <c r="K92" i="7" s="1"/>
  <c r="CI91" i="7"/>
  <c r="CH91" i="7"/>
  <c r="CG91" i="7"/>
  <c r="BP91" i="7"/>
  <c r="BO91" i="7"/>
  <c r="BN91" i="7"/>
  <c r="AV91" i="7"/>
  <c r="AC91" i="7"/>
  <c r="J91" i="7"/>
  <c r="I91" i="7"/>
  <c r="K91" i="7" s="1"/>
  <c r="CI90" i="7"/>
  <c r="CH90" i="7"/>
  <c r="CG90" i="7"/>
  <c r="BP90" i="7"/>
  <c r="BO90" i="7"/>
  <c r="BN90" i="7"/>
  <c r="AV90" i="7"/>
  <c r="AC90" i="7"/>
  <c r="J90" i="7"/>
  <c r="I90" i="7"/>
  <c r="K90" i="7" s="1"/>
  <c r="CI89" i="7"/>
  <c r="CH89" i="7"/>
  <c r="CG89" i="7"/>
  <c r="BP89" i="7"/>
  <c r="BO89" i="7"/>
  <c r="BN89" i="7"/>
  <c r="AV89" i="7"/>
  <c r="AC89" i="7"/>
  <c r="J89" i="7"/>
  <c r="I89" i="7"/>
  <c r="K89" i="7" s="1"/>
  <c r="CI88" i="7"/>
  <c r="CH88" i="7"/>
  <c r="CG88" i="7"/>
  <c r="BP88" i="7"/>
  <c r="BO88" i="7"/>
  <c r="BN88" i="7"/>
  <c r="AV88" i="7"/>
  <c r="AC88" i="7"/>
  <c r="J88" i="7"/>
  <c r="I88" i="7"/>
  <c r="K88" i="7" s="1"/>
  <c r="CI87" i="7"/>
  <c r="CH87" i="7"/>
  <c r="CG87" i="7"/>
  <c r="BP87" i="7"/>
  <c r="BO87" i="7"/>
  <c r="BN87" i="7"/>
  <c r="AV87" i="7"/>
  <c r="AC87" i="7"/>
  <c r="J87" i="7"/>
  <c r="I87" i="7"/>
  <c r="K87" i="7" s="1"/>
  <c r="CI86" i="7"/>
  <c r="CH86" i="7"/>
  <c r="CG86" i="7"/>
  <c r="BP86" i="7"/>
  <c r="BO86" i="7"/>
  <c r="BN86" i="7"/>
  <c r="AV86" i="7"/>
  <c r="AC86" i="7"/>
  <c r="J86" i="7"/>
  <c r="I86" i="7"/>
  <c r="K86" i="7" s="1"/>
  <c r="CI85" i="7"/>
  <c r="CH85" i="7"/>
  <c r="CG85" i="7"/>
  <c r="BP85" i="7"/>
  <c r="BO85" i="7"/>
  <c r="BN85" i="7"/>
  <c r="AV85" i="7"/>
  <c r="AC85" i="7"/>
  <c r="J85" i="7"/>
  <c r="I85" i="7"/>
  <c r="K85" i="7" s="1"/>
  <c r="CI84" i="7"/>
  <c r="CH84" i="7"/>
  <c r="CG84" i="7"/>
  <c r="BP84" i="7"/>
  <c r="BO84" i="7"/>
  <c r="BN84" i="7"/>
  <c r="AV84" i="7"/>
  <c r="AC84" i="7"/>
  <c r="J84" i="7"/>
  <c r="I84" i="7"/>
  <c r="K84" i="7" s="1"/>
  <c r="CI83" i="7"/>
  <c r="CH83" i="7"/>
  <c r="CG83" i="7"/>
  <c r="BP83" i="7"/>
  <c r="BO83" i="7"/>
  <c r="BN83" i="7"/>
  <c r="AV83" i="7"/>
  <c r="AC83" i="7"/>
  <c r="J83" i="7"/>
  <c r="I83" i="7"/>
  <c r="K83" i="7" s="1"/>
  <c r="CI82" i="7"/>
  <c r="CH82" i="7"/>
  <c r="CG82" i="7"/>
  <c r="BP82" i="7"/>
  <c r="BO82" i="7"/>
  <c r="BN82" i="7"/>
  <c r="AV82" i="7"/>
  <c r="AC82" i="7"/>
  <c r="J82" i="7"/>
  <c r="I82" i="7"/>
  <c r="K82" i="7" s="1"/>
  <c r="CI81" i="7"/>
  <c r="CH81" i="7"/>
  <c r="CG81" i="7"/>
  <c r="BP81" i="7"/>
  <c r="BO81" i="7"/>
  <c r="BN81" i="7"/>
  <c r="AV81" i="7"/>
  <c r="AC81" i="7"/>
  <c r="J81" i="7"/>
  <c r="I81" i="7"/>
  <c r="K81" i="7" s="1"/>
  <c r="CI80" i="7"/>
  <c r="CH80" i="7"/>
  <c r="CG80" i="7"/>
  <c r="BP80" i="7"/>
  <c r="BO80" i="7"/>
  <c r="BN80" i="7"/>
  <c r="AV80" i="7"/>
  <c r="AC80" i="7"/>
  <c r="J80" i="7"/>
  <c r="I80" i="7"/>
  <c r="K80" i="7" s="1"/>
  <c r="CI79" i="7"/>
  <c r="CH79" i="7"/>
  <c r="CG79" i="7"/>
  <c r="BP79" i="7"/>
  <c r="BO79" i="7"/>
  <c r="BN79" i="7"/>
  <c r="AV79" i="7"/>
  <c r="AC79" i="7"/>
  <c r="J79" i="7"/>
  <c r="I79" i="7"/>
  <c r="K79" i="7" s="1"/>
  <c r="CI78" i="7"/>
  <c r="CH78" i="7"/>
  <c r="CG78" i="7"/>
  <c r="BP78" i="7"/>
  <c r="BO78" i="7"/>
  <c r="BN78" i="7"/>
  <c r="AV78" i="7"/>
  <c r="AC78" i="7"/>
  <c r="J78" i="7"/>
  <c r="I78" i="7"/>
  <c r="K78" i="7" s="1"/>
  <c r="CI77" i="7"/>
  <c r="CH77" i="7"/>
  <c r="CG77" i="7"/>
  <c r="BP77" i="7"/>
  <c r="BO77" i="7"/>
  <c r="BN77" i="7"/>
  <c r="AV77" i="7"/>
  <c r="AC77" i="7"/>
  <c r="J77" i="7"/>
  <c r="I77" i="7"/>
  <c r="K77" i="7" s="1"/>
  <c r="CI76" i="7"/>
  <c r="CH76" i="7"/>
  <c r="CG76" i="7"/>
  <c r="BP76" i="7"/>
  <c r="BO76" i="7"/>
  <c r="BN76" i="7"/>
  <c r="AV76" i="7"/>
  <c r="AC76" i="7"/>
  <c r="J76" i="7"/>
  <c r="I76" i="7"/>
  <c r="K76" i="7" s="1"/>
  <c r="CI75" i="7"/>
  <c r="CH75" i="7"/>
  <c r="CG75" i="7"/>
  <c r="BP75" i="7"/>
  <c r="BO75" i="7"/>
  <c r="BN75" i="7"/>
  <c r="AV75" i="7"/>
  <c r="AC75" i="7"/>
  <c r="AB75" i="7"/>
  <c r="AD75" i="7" s="1"/>
  <c r="J75" i="7"/>
  <c r="I75" i="7"/>
  <c r="K75" i="7" s="1"/>
  <c r="CI74" i="7"/>
  <c r="CH74" i="7"/>
  <c r="CG74" i="7"/>
  <c r="BP74" i="7"/>
  <c r="BO74" i="7"/>
  <c r="BN74" i="7"/>
  <c r="AV74" i="7"/>
  <c r="AC74" i="7"/>
  <c r="J74" i="7"/>
  <c r="I74" i="7"/>
  <c r="K74" i="7" s="1"/>
  <c r="CI73" i="7"/>
  <c r="CH73" i="7"/>
  <c r="CG73" i="7"/>
  <c r="BP73" i="7"/>
  <c r="BO73" i="7"/>
  <c r="BN73" i="7"/>
  <c r="AV73" i="7"/>
  <c r="AC73" i="7"/>
  <c r="AB73" i="7"/>
  <c r="AD73" i="7" s="1"/>
  <c r="J73" i="7"/>
  <c r="I73" i="7"/>
  <c r="K73" i="7" s="1"/>
  <c r="CI72" i="7"/>
  <c r="CH72" i="7"/>
  <c r="CG72" i="7"/>
  <c r="BP72" i="7"/>
  <c r="BO72" i="7"/>
  <c r="BN72" i="7"/>
  <c r="AV72" i="7"/>
  <c r="AC72" i="7"/>
  <c r="J72" i="7"/>
  <c r="I72" i="7"/>
  <c r="K72" i="7" s="1"/>
  <c r="CI71" i="7"/>
  <c r="CH71" i="7"/>
  <c r="CG71" i="7"/>
  <c r="BP71" i="7"/>
  <c r="BO71" i="7"/>
  <c r="BN71" i="7"/>
  <c r="AV71" i="7"/>
  <c r="AC71" i="7"/>
  <c r="J71" i="7"/>
  <c r="I71" i="7"/>
  <c r="K71" i="7" s="1"/>
  <c r="CI70" i="7"/>
  <c r="CH70" i="7"/>
  <c r="CG70" i="7"/>
  <c r="BP70" i="7"/>
  <c r="BO70" i="7"/>
  <c r="BN70" i="7"/>
  <c r="AV70" i="7"/>
  <c r="AC70" i="7"/>
  <c r="J70" i="7"/>
  <c r="I70" i="7"/>
  <c r="K70" i="7" s="1"/>
  <c r="CI69" i="7"/>
  <c r="CH69" i="7"/>
  <c r="CG69" i="7"/>
  <c r="BP69" i="7"/>
  <c r="BO69" i="7"/>
  <c r="BN69" i="7"/>
  <c r="AV69" i="7"/>
  <c r="AC69" i="7"/>
  <c r="J69" i="7"/>
  <c r="I69" i="7"/>
  <c r="K69" i="7" s="1"/>
  <c r="CI68" i="7"/>
  <c r="CH68" i="7"/>
  <c r="CG68" i="7"/>
  <c r="BP68" i="7"/>
  <c r="BO68" i="7"/>
  <c r="BN68" i="7"/>
  <c r="AV68" i="7"/>
  <c r="AC68" i="7"/>
  <c r="J68" i="7"/>
  <c r="I68" i="7"/>
  <c r="K68" i="7" s="1"/>
  <c r="CI67" i="7"/>
  <c r="CH67" i="7"/>
  <c r="CG67" i="7"/>
  <c r="BP67" i="7"/>
  <c r="BO67" i="7"/>
  <c r="BN67" i="7"/>
  <c r="AV67" i="7"/>
  <c r="AC67" i="7"/>
  <c r="J67" i="7"/>
  <c r="I67" i="7"/>
  <c r="K67" i="7" s="1"/>
  <c r="CI66" i="7"/>
  <c r="CH66" i="7"/>
  <c r="CG66" i="7"/>
  <c r="BP66" i="7"/>
  <c r="BO66" i="7"/>
  <c r="BN66" i="7"/>
  <c r="AV66" i="7"/>
  <c r="AC66" i="7"/>
  <c r="J66" i="7"/>
  <c r="I66" i="7"/>
  <c r="K66" i="7" s="1"/>
  <c r="CI65" i="7"/>
  <c r="CH65" i="7"/>
  <c r="CG65" i="7"/>
  <c r="BP65" i="7"/>
  <c r="BO65" i="7"/>
  <c r="BN65" i="7"/>
  <c r="AV65" i="7"/>
  <c r="AC65" i="7"/>
  <c r="J65" i="7"/>
  <c r="I65" i="7"/>
  <c r="K65" i="7" s="1"/>
  <c r="CI64" i="7"/>
  <c r="CH64" i="7"/>
  <c r="CG64" i="7"/>
  <c r="BP64" i="7"/>
  <c r="BO64" i="7"/>
  <c r="BN64" i="7"/>
  <c r="AV64" i="7"/>
  <c r="AC64" i="7"/>
  <c r="J64" i="7"/>
  <c r="I64" i="7"/>
  <c r="K64" i="7" s="1"/>
  <c r="CI63" i="7"/>
  <c r="CH63" i="7"/>
  <c r="CG63" i="7"/>
  <c r="BP63" i="7"/>
  <c r="BO63" i="7"/>
  <c r="BN63" i="7"/>
  <c r="AV63" i="7"/>
  <c r="AC63" i="7"/>
  <c r="J63" i="7"/>
  <c r="I63" i="7"/>
  <c r="K63" i="7" s="1"/>
  <c r="CI62" i="7"/>
  <c r="CH62" i="7"/>
  <c r="CG62" i="7"/>
  <c r="BP62" i="7"/>
  <c r="BO62" i="7"/>
  <c r="BN62" i="7"/>
  <c r="AV62" i="7"/>
  <c r="AC62" i="7"/>
  <c r="J62" i="7"/>
  <c r="I62" i="7"/>
  <c r="K62" i="7" s="1"/>
  <c r="CI61" i="7"/>
  <c r="CH61" i="7"/>
  <c r="CG61" i="7"/>
  <c r="BP61" i="7"/>
  <c r="BO61" i="7"/>
  <c r="BN61" i="7"/>
  <c r="AV61" i="7"/>
  <c r="AC61" i="7"/>
  <c r="J61" i="7"/>
  <c r="I61" i="7"/>
  <c r="K61" i="7" s="1"/>
  <c r="CI60" i="7"/>
  <c r="CH60" i="7"/>
  <c r="CG60" i="7"/>
  <c r="BP60" i="7"/>
  <c r="BO60" i="7"/>
  <c r="BN60" i="7"/>
  <c r="AV60" i="7"/>
  <c r="AC60" i="7"/>
  <c r="J60" i="7"/>
  <c r="I60" i="7"/>
  <c r="K60" i="7" s="1"/>
  <c r="CI59" i="7"/>
  <c r="CH59" i="7"/>
  <c r="CG59" i="7"/>
  <c r="BP59" i="7"/>
  <c r="BO59" i="7"/>
  <c r="BN59" i="7"/>
  <c r="AV59" i="7"/>
  <c r="AC59" i="7"/>
  <c r="J59" i="7"/>
  <c r="I59" i="7"/>
  <c r="K59" i="7" s="1"/>
  <c r="CI58" i="7"/>
  <c r="CH58" i="7"/>
  <c r="CG58" i="7"/>
  <c r="BP58" i="7"/>
  <c r="BO58" i="7"/>
  <c r="BN58" i="7"/>
  <c r="AV58" i="7"/>
  <c r="AC58" i="7"/>
  <c r="AB58" i="7"/>
  <c r="AD58" i="7" s="1"/>
  <c r="J58" i="7"/>
  <c r="I58" i="7"/>
  <c r="K58" i="7" s="1"/>
  <c r="CI57" i="7"/>
  <c r="CH57" i="7"/>
  <c r="CG57" i="7"/>
  <c r="BP57" i="7"/>
  <c r="BO57" i="7"/>
  <c r="BN57" i="7"/>
  <c r="AV57" i="7"/>
  <c r="AC57" i="7"/>
  <c r="J57" i="7"/>
  <c r="I57" i="7"/>
  <c r="K57" i="7" s="1"/>
  <c r="CI56" i="7"/>
  <c r="CH56" i="7"/>
  <c r="CG56" i="7"/>
  <c r="BP56" i="7"/>
  <c r="BO56" i="7"/>
  <c r="BN56" i="7"/>
  <c r="AV56" i="7"/>
  <c r="AC56" i="7"/>
  <c r="AB56" i="7"/>
  <c r="AD56" i="7" s="1"/>
  <c r="J56" i="7"/>
  <c r="I56" i="7"/>
  <c r="K56" i="7" s="1"/>
  <c r="CI55" i="7"/>
  <c r="CH55" i="7"/>
  <c r="CG55" i="7"/>
  <c r="BP55" i="7"/>
  <c r="BO55" i="7"/>
  <c r="BN55" i="7"/>
  <c r="AV55" i="7"/>
  <c r="AC55" i="7"/>
  <c r="J55" i="7"/>
  <c r="I55" i="7"/>
  <c r="K55" i="7" s="1"/>
  <c r="CI54" i="7"/>
  <c r="CH54" i="7"/>
  <c r="CG54" i="7"/>
  <c r="BP54" i="7"/>
  <c r="BO54" i="7"/>
  <c r="BN54" i="7"/>
  <c r="AV54" i="7"/>
  <c r="AC54" i="7"/>
  <c r="J54" i="7"/>
  <c r="I54" i="7"/>
  <c r="K54" i="7" s="1"/>
  <c r="CI53" i="7"/>
  <c r="CH53" i="7"/>
  <c r="CG53" i="7"/>
  <c r="BP53" i="7"/>
  <c r="BO53" i="7"/>
  <c r="BN53" i="7"/>
  <c r="AV53" i="7"/>
  <c r="AC53" i="7"/>
  <c r="J53" i="7"/>
  <c r="I53" i="7"/>
  <c r="K53" i="7" s="1"/>
  <c r="CI52" i="7"/>
  <c r="CH52" i="7"/>
  <c r="CG52" i="7"/>
  <c r="BP52" i="7"/>
  <c r="BO52" i="7"/>
  <c r="BN52" i="7"/>
  <c r="AV52" i="7"/>
  <c r="AC52" i="7"/>
  <c r="J52" i="7"/>
  <c r="I52" i="7"/>
  <c r="K52" i="7" s="1"/>
  <c r="CI51" i="7"/>
  <c r="CH51" i="7"/>
  <c r="CG51" i="7"/>
  <c r="BP51" i="7"/>
  <c r="BO51" i="7"/>
  <c r="BN51" i="7"/>
  <c r="AV51" i="7"/>
  <c r="AC51" i="7"/>
  <c r="J51" i="7"/>
  <c r="I51" i="7"/>
  <c r="K51" i="7" s="1"/>
  <c r="CI50" i="7"/>
  <c r="CH50" i="7"/>
  <c r="CG50" i="7"/>
  <c r="BP50" i="7"/>
  <c r="BO50" i="7"/>
  <c r="BN50" i="7"/>
  <c r="AV50" i="7"/>
  <c r="AC50" i="7"/>
  <c r="J50" i="7"/>
  <c r="I50" i="7"/>
  <c r="K50" i="7" s="1"/>
  <c r="CI49" i="7"/>
  <c r="CH49" i="7"/>
  <c r="CG49" i="7"/>
  <c r="BP49" i="7"/>
  <c r="BO49" i="7"/>
  <c r="BN49" i="7"/>
  <c r="AV49" i="7"/>
  <c r="AC49" i="7"/>
  <c r="J49" i="7"/>
  <c r="I49" i="7"/>
  <c r="K49" i="7" s="1"/>
  <c r="CI48" i="7"/>
  <c r="CH48" i="7"/>
  <c r="CG48" i="7"/>
  <c r="BP48" i="7"/>
  <c r="BO48" i="7"/>
  <c r="BN48" i="7"/>
  <c r="AV48" i="7"/>
  <c r="AC48" i="7"/>
  <c r="J48" i="7"/>
  <c r="I48" i="7"/>
  <c r="K48" i="7" s="1"/>
  <c r="CI47" i="7"/>
  <c r="CH47" i="7"/>
  <c r="CG47" i="7"/>
  <c r="BP47" i="7"/>
  <c r="BO47" i="7"/>
  <c r="BN47" i="7"/>
  <c r="AV47" i="7"/>
  <c r="AC47" i="7"/>
  <c r="J47" i="7"/>
  <c r="I47" i="7"/>
  <c r="K47" i="7" s="1"/>
  <c r="CI46" i="7"/>
  <c r="CH46" i="7"/>
  <c r="CG46" i="7"/>
  <c r="BP46" i="7"/>
  <c r="BO46" i="7"/>
  <c r="BN46" i="7"/>
  <c r="AV46" i="7"/>
  <c r="AC46" i="7"/>
  <c r="J46" i="7"/>
  <c r="I46" i="7"/>
  <c r="K46" i="7" s="1"/>
  <c r="CI45" i="7"/>
  <c r="CH45" i="7"/>
  <c r="CG45" i="7"/>
  <c r="BP45" i="7"/>
  <c r="BO45" i="7"/>
  <c r="BN45" i="7"/>
  <c r="AV45" i="7"/>
  <c r="AC45" i="7"/>
  <c r="J45" i="7"/>
  <c r="I45" i="7"/>
  <c r="K45" i="7" s="1"/>
  <c r="CI44" i="7"/>
  <c r="CH44" i="7"/>
  <c r="CG44" i="7"/>
  <c r="BP44" i="7"/>
  <c r="BO44" i="7"/>
  <c r="BN44" i="7"/>
  <c r="AV44" i="7"/>
  <c r="AC44" i="7"/>
  <c r="J44" i="7"/>
  <c r="I44" i="7"/>
  <c r="K44" i="7" s="1"/>
  <c r="CI43" i="7"/>
  <c r="CH43" i="7"/>
  <c r="CG43" i="7"/>
  <c r="BP43" i="7"/>
  <c r="BO43" i="7"/>
  <c r="BN43" i="7"/>
  <c r="AV43" i="7"/>
  <c r="AC43" i="7"/>
  <c r="J43" i="7"/>
  <c r="I43" i="7"/>
  <c r="K43" i="7" s="1"/>
  <c r="CI42" i="7"/>
  <c r="CH42" i="7"/>
  <c r="CG42" i="7"/>
  <c r="BP42" i="7"/>
  <c r="BO42" i="7"/>
  <c r="BN42" i="7"/>
  <c r="AV42" i="7"/>
  <c r="AC42" i="7"/>
  <c r="AB42" i="7"/>
  <c r="AD42" i="7" s="1"/>
  <c r="J42" i="7"/>
  <c r="I42" i="7"/>
  <c r="K42" i="7" s="1"/>
  <c r="CI41" i="7"/>
  <c r="CH41" i="7"/>
  <c r="CG41" i="7"/>
  <c r="BP41" i="7"/>
  <c r="BO41" i="7"/>
  <c r="BN41" i="7"/>
  <c r="AV41" i="7"/>
  <c r="AC41" i="7"/>
  <c r="J41" i="7"/>
  <c r="I41" i="7"/>
  <c r="K41" i="7" s="1"/>
  <c r="CI40" i="7"/>
  <c r="CH40" i="7"/>
  <c r="CG40" i="7"/>
  <c r="BP40" i="7"/>
  <c r="BO40" i="7"/>
  <c r="BN40" i="7"/>
  <c r="AV40" i="7"/>
  <c r="AC40" i="7"/>
  <c r="AB40" i="7"/>
  <c r="AD40" i="7" s="1"/>
  <c r="J40" i="7"/>
  <c r="I40" i="7"/>
  <c r="K40" i="7" s="1"/>
  <c r="CI39" i="7"/>
  <c r="CH39" i="7"/>
  <c r="CG39" i="7"/>
  <c r="BP39" i="7"/>
  <c r="BO39" i="7"/>
  <c r="BN39" i="7"/>
  <c r="AV39" i="7"/>
  <c r="AC39" i="7"/>
  <c r="J39" i="7"/>
  <c r="I39" i="7"/>
  <c r="K39" i="7" s="1"/>
  <c r="CI38" i="7"/>
  <c r="CH38" i="7"/>
  <c r="CG38" i="7"/>
  <c r="BP38" i="7"/>
  <c r="BO38" i="7"/>
  <c r="BN38" i="7"/>
  <c r="AV38" i="7"/>
  <c r="AC38" i="7"/>
  <c r="J38" i="7"/>
  <c r="I38" i="7"/>
  <c r="K38" i="7" s="1"/>
  <c r="CI37" i="7"/>
  <c r="CH37" i="7"/>
  <c r="CG37" i="7"/>
  <c r="BP37" i="7"/>
  <c r="BO37" i="7"/>
  <c r="BN37" i="7"/>
  <c r="AV37" i="7"/>
  <c r="AC37" i="7"/>
  <c r="J37" i="7"/>
  <c r="I37" i="7"/>
  <c r="K37" i="7" s="1"/>
  <c r="CI36" i="7"/>
  <c r="CH36" i="7"/>
  <c r="CG36" i="7"/>
  <c r="BP36" i="7"/>
  <c r="BO36" i="7"/>
  <c r="BN36" i="7"/>
  <c r="AV36" i="7"/>
  <c r="AC36" i="7"/>
  <c r="J36" i="7"/>
  <c r="I36" i="7"/>
  <c r="K36" i="7" s="1"/>
  <c r="CI35" i="7"/>
  <c r="CH35" i="7"/>
  <c r="CG35" i="7"/>
  <c r="BP35" i="7"/>
  <c r="BO35" i="7"/>
  <c r="BN35" i="7"/>
  <c r="AV35" i="7"/>
  <c r="AC35" i="7"/>
  <c r="J35" i="7"/>
  <c r="I35" i="7"/>
  <c r="K35" i="7" s="1"/>
  <c r="CI34" i="7"/>
  <c r="CH34" i="7"/>
  <c r="CG34" i="7"/>
  <c r="BP34" i="7"/>
  <c r="BO34" i="7"/>
  <c r="BN34" i="7"/>
  <c r="AV34" i="7"/>
  <c r="AC34" i="7"/>
  <c r="J34" i="7"/>
  <c r="I34" i="7"/>
  <c r="K34" i="7" s="1"/>
  <c r="CI33" i="7"/>
  <c r="CH33" i="7"/>
  <c r="CG33" i="7"/>
  <c r="BP33" i="7"/>
  <c r="BO33" i="7"/>
  <c r="BN33" i="7"/>
  <c r="AV33" i="7"/>
  <c r="AC33" i="7"/>
  <c r="J33" i="7"/>
  <c r="I33" i="7"/>
  <c r="K33" i="7" s="1"/>
  <c r="CI32" i="7"/>
  <c r="CH32" i="7"/>
  <c r="CG32" i="7"/>
  <c r="BP32" i="7"/>
  <c r="BO32" i="7"/>
  <c r="BN32" i="7"/>
  <c r="AV32" i="7"/>
  <c r="AC32" i="7"/>
  <c r="J32" i="7"/>
  <c r="I32" i="7"/>
  <c r="K32" i="7" s="1"/>
  <c r="CI31" i="7"/>
  <c r="CH31" i="7"/>
  <c r="CG31" i="7"/>
  <c r="BP31" i="7"/>
  <c r="BO31" i="7"/>
  <c r="BN31" i="7"/>
  <c r="AV31" i="7"/>
  <c r="AC31" i="7"/>
  <c r="J31" i="7"/>
  <c r="I31" i="7"/>
  <c r="K31" i="7" s="1"/>
  <c r="CI30" i="7"/>
  <c r="CH30" i="7"/>
  <c r="CG30" i="7"/>
  <c r="BP30" i="7"/>
  <c r="BO30" i="7"/>
  <c r="BN30" i="7"/>
  <c r="AV30" i="7"/>
  <c r="AC30" i="7"/>
  <c r="J30" i="7"/>
  <c r="I30" i="7"/>
  <c r="K30" i="7" s="1"/>
  <c r="CI29" i="7"/>
  <c r="CH29" i="7"/>
  <c r="CG29" i="7"/>
  <c r="BP29" i="7"/>
  <c r="BO29" i="7"/>
  <c r="BN29" i="7"/>
  <c r="AV29" i="7"/>
  <c r="AC29" i="7"/>
  <c r="J29" i="7"/>
  <c r="I29" i="7"/>
  <c r="K29" i="7" s="1"/>
  <c r="CI28" i="7"/>
  <c r="CH28" i="7"/>
  <c r="CG28" i="7"/>
  <c r="BP28" i="7"/>
  <c r="BO28" i="7"/>
  <c r="BN28" i="7"/>
  <c r="AV28" i="7"/>
  <c r="AC28" i="7"/>
  <c r="J28" i="7"/>
  <c r="I28" i="7"/>
  <c r="K28" i="7" s="1"/>
  <c r="CI27" i="7"/>
  <c r="CH27" i="7"/>
  <c r="CG27" i="7"/>
  <c r="BP27" i="7"/>
  <c r="BO27" i="7"/>
  <c r="BN27" i="7"/>
  <c r="AV27" i="7"/>
  <c r="AC27" i="7"/>
  <c r="J27" i="7"/>
  <c r="I27" i="7"/>
  <c r="K27" i="7" s="1"/>
  <c r="CI26" i="7"/>
  <c r="CH26" i="7"/>
  <c r="CG26" i="7"/>
  <c r="BP26" i="7"/>
  <c r="BO26" i="7"/>
  <c r="BN26" i="7"/>
  <c r="AV26" i="7"/>
  <c r="AC26" i="7"/>
  <c r="AB26" i="7"/>
  <c r="AD26" i="7" s="1"/>
  <c r="J26" i="7"/>
  <c r="I26" i="7"/>
  <c r="K26" i="7" s="1"/>
  <c r="CI25" i="7"/>
  <c r="CH25" i="7"/>
  <c r="CG25" i="7"/>
  <c r="BP25" i="7"/>
  <c r="BO25" i="7"/>
  <c r="BN25" i="7"/>
  <c r="AV25" i="7"/>
  <c r="AC25" i="7"/>
  <c r="J25" i="7"/>
  <c r="I25" i="7"/>
  <c r="K25" i="7" s="1"/>
  <c r="CI24" i="7"/>
  <c r="CH24" i="7"/>
  <c r="CG24" i="7"/>
  <c r="BP24" i="7"/>
  <c r="BO24" i="7"/>
  <c r="BN24" i="7"/>
  <c r="AV24" i="7"/>
  <c r="AC24" i="7"/>
  <c r="AB24" i="7"/>
  <c r="AD24" i="7" s="1"/>
  <c r="J24" i="7"/>
  <c r="I24" i="7"/>
  <c r="K24" i="7" s="1"/>
  <c r="CI23" i="7"/>
  <c r="CH23" i="7"/>
  <c r="CG23" i="7"/>
  <c r="BP23" i="7"/>
  <c r="BO23" i="7"/>
  <c r="BN23" i="7"/>
  <c r="AV23" i="7"/>
  <c r="AC23" i="7"/>
  <c r="J23" i="7"/>
  <c r="I23" i="7"/>
  <c r="K23" i="7" s="1"/>
  <c r="CI22" i="7"/>
  <c r="CH22" i="7"/>
  <c r="CG22" i="7"/>
  <c r="BP22" i="7"/>
  <c r="BO22" i="7"/>
  <c r="BN22" i="7"/>
  <c r="AV22" i="7"/>
  <c r="AC22" i="7"/>
  <c r="J22" i="7"/>
  <c r="I22" i="7"/>
  <c r="K22" i="7" s="1"/>
  <c r="CI21" i="7"/>
  <c r="CH21" i="7"/>
  <c r="CG21" i="7"/>
  <c r="BP21" i="7"/>
  <c r="BO21" i="7"/>
  <c r="BN21" i="7"/>
  <c r="AV21" i="7"/>
  <c r="AC21" i="7"/>
  <c r="J21" i="7"/>
  <c r="I21" i="7"/>
  <c r="K21" i="7" s="1"/>
  <c r="CI20" i="7"/>
  <c r="CH20" i="7"/>
  <c r="CG20" i="7"/>
  <c r="BP20" i="7"/>
  <c r="BO20" i="7"/>
  <c r="BN20" i="7"/>
  <c r="AV20" i="7"/>
  <c r="AC20" i="7"/>
  <c r="J20" i="7"/>
  <c r="I20" i="7"/>
  <c r="K20" i="7" s="1"/>
  <c r="CI19" i="7"/>
  <c r="CH19" i="7"/>
  <c r="CG19" i="7"/>
  <c r="BP19" i="7"/>
  <c r="BO19" i="7"/>
  <c r="BN19" i="7"/>
  <c r="AV19" i="7"/>
  <c r="AC19" i="7"/>
  <c r="J19" i="7"/>
  <c r="I19" i="7"/>
  <c r="K19" i="7" s="1"/>
  <c r="CI18" i="7"/>
  <c r="CH18" i="7"/>
  <c r="CG18" i="7"/>
  <c r="BP18" i="7"/>
  <c r="BO18" i="7"/>
  <c r="BN18" i="7"/>
  <c r="AV18" i="7"/>
  <c r="AC18" i="7"/>
  <c r="J18" i="7"/>
  <c r="I18" i="7"/>
  <c r="K18" i="7" s="1"/>
  <c r="CI17" i="7"/>
  <c r="CH17" i="7"/>
  <c r="CG17" i="7"/>
  <c r="BP17" i="7"/>
  <c r="BO17" i="7"/>
  <c r="BN17" i="7"/>
  <c r="AV17" i="7"/>
  <c r="AC17" i="7"/>
  <c r="J17" i="7"/>
  <c r="I17" i="7"/>
  <c r="K17" i="7" s="1"/>
  <c r="CI16" i="7"/>
  <c r="CH16" i="7"/>
  <c r="CG16" i="7"/>
  <c r="BP16" i="7"/>
  <c r="BO16" i="7"/>
  <c r="BN16" i="7"/>
  <c r="AV16" i="7"/>
  <c r="AC16" i="7"/>
  <c r="J16" i="7"/>
  <c r="I16" i="7"/>
  <c r="K16" i="7" s="1"/>
  <c r="CI15" i="7"/>
  <c r="CH15" i="7"/>
  <c r="CG15" i="7"/>
  <c r="BP15" i="7"/>
  <c r="BO15" i="7"/>
  <c r="BN15" i="7"/>
  <c r="AV15" i="7"/>
  <c r="AC15" i="7"/>
  <c r="J15" i="7"/>
  <c r="I15" i="7"/>
  <c r="K15" i="7" s="1"/>
  <c r="D15" i="7"/>
  <c r="AP15" i="7" s="1"/>
  <c r="CA13" i="7"/>
  <c r="BH13" i="7"/>
  <c r="AO13" i="7"/>
  <c r="AU77" i="7" s="1"/>
  <c r="AW77" i="7" s="1"/>
  <c r="V13" i="7"/>
  <c r="AB98" i="7" s="1"/>
  <c r="AD98" i="7" s="1"/>
  <c r="B8" i="7"/>
  <c r="B2" i="7"/>
  <c r="CF97" i="7" s="1"/>
  <c r="C5" i="28"/>
  <c r="C6" i="28" s="1"/>
  <c r="C7" i="28" s="1"/>
  <c r="D4" i="28"/>
  <c r="C12" i="22"/>
  <c r="G4" i="22"/>
  <c r="AU25" i="7" l="1"/>
  <c r="AW25" i="7" s="1"/>
  <c r="AU32" i="7"/>
  <c r="AW32" i="7" s="1"/>
  <c r="AU39" i="7"/>
  <c r="AW39" i="7" s="1"/>
  <c r="AU67" i="7"/>
  <c r="AW67" i="7" s="1"/>
  <c r="AU38" i="7"/>
  <c r="AW38" i="7" s="1"/>
  <c r="AU52" i="7"/>
  <c r="AW52" i="7" s="1"/>
  <c r="AU57" i="7"/>
  <c r="AW57" i="7" s="1"/>
  <c r="AU64" i="7"/>
  <c r="AW64" i="7" s="1"/>
  <c r="AU55" i="7"/>
  <c r="AW55" i="7" s="1"/>
  <c r="AU98" i="7"/>
  <c r="AW98" i="7" s="1"/>
  <c r="AU16" i="7"/>
  <c r="AW16" i="7" s="1"/>
  <c r="AU22" i="7"/>
  <c r="AW22" i="7" s="1"/>
  <c r="AU85" i="7"/>
  <c r="AW85" i="7" s="1"/>
  <c r="AU88" i="7"/>
  <c r="AW88" i="7" s="1"/>
  <c r="AU35" i="7"/>
  <c r="AW35" i="7" s="1"/>
  <c r="AU82" i="7"/>
  <c r="AW82" i="7" s="1"/>
  <c r="AU96" i="7"/>
  <c r="AW96" i="7" s="1"/>
  <c r="AU23" i="7"/>
  <c r="AW23" i="7" s="1"/>
  <c r="AU51" i="7"/>
  <c r="AW51" i="7" s="1"/>
  <c r="AU93" i="7"/>
  <c r="AW93" i="7" s="1"/>
  <c r="AU19" i="7"/>
  <c r="AW19" i="7" s="1"/>
  <c r="AU20" i="7"/>
  <c r="AW20" i="7" s="1"/>
  <c r="AU36" i="7"/>
  <c r="AW36" i="7" s="1"/>
  <c r="AU41" i="7"/>
  <c r="AW41" i="7" s="1"/>
  <c r="AU48" i="7"/>
  <c r="AW48" i="7" s="1"/>
  <c r="AU54" i="7"/>
  <c r="AW54" i="7" s="1"/>
  <c r="AU70" i="7"/>
  <c r="AW70" i="7" s="1"/>
  <c r="AU73" i="7"/>
  <c r="AW73" i="7" s="1"/>
  <c r="AU80" i="7"/>
  <c r="AW80" i="7" s="1"/>
  <c r="AU90" i="7"/>
  <c r="AW90" i="7" s="1"/>
  <c r="AB22" i="7"/>
  <c r="AD22" i="7" s="1"/>
  <c r="AB30" i="7"/>
  <c r="AD30" i="7" s="1"/>
  <c r="AB38" i="7"/>
  <c r="AD38" i="7" s="1"/>
  <c r="AB46" i="7"/>
  <c r="AD46" i="7" s="1"/>
  <c r="AB54" i="7"/>
  <c r="AD54" i="7" s="1"/>
  <c r="AB62" i="7"/>
  <c r="AD62" i="7" s="1"/>
  <c r="AB79" i="7"/>
  <c r="AD79" i="7" s="1"/>
  <c r="AB81" i="7"/>
  <c r="AD81" i="7" s="1"/>
  <c r="AB93" i="7"/>
  <c r="AD93" i="7" s="1"/>
  <c r="AB28" i="7"/>
  <c r="AD28" i="7" s="1"/>
  <c r="AB44" i="7"/>
  <c r="AD44" i="7" s="1"/>
  <c r="AB60" i="7"/>
  <c r="AD60" i="7" s="1"/>
  <c r="AB77" i="7"/>
  <c r="AD77" i="7" s="1"/>
  <c r="AB84" i="7"/>
  <c r="AD84" i="7" s="1"/>
  <c r="AB91" i="7"/>
  <c r="AD91" i="7" s="1"/>
  <c r="AB96" i="7"/>
  <c r="AD96" i="7" s="1"/>
  <c r="AB19" i="7"/>
  <c r="AD19" i="7" s="1"/>
  <c r="AB35" i="7"/>
  <c r="AD35" i="7" s="1"/>
  <c r="AB51" i="7"/>
  <c r="AD51" i="7" s="1"/>
  <c r="AB67" i="7"/>
  <c r="AD67" i="7" s="1"/>
  <c r="AB69" i="7"/>
  <c r="AD69" i="7" s="1"/>
  <c r="AB71" i="7"/>
  <c r="AD71" i="7" s="1"/>
  <c r="AB80" i="7"/>
  <c r="AD80" i="7" s="1"/>
  <c r="AB87" i="7"/>
  <c r="AD87" i="7" s="1"/>
  <c r="AB89" i="7"/>
  <c r="AD89" i="7" s="1"/>
  <c r="AB15" i="7"/>
  <c r="AD15" i="7" s="1"/>
  <c r="AB17" i="7"/>
  <c r="AD17" i="7" s="1"/>
  <c r="AB31" i="7"/>
  <c r="AD31" i="7" s="1"/>
  <c r="AB33" i="7"/>
  <c r="AD33" i="7" s="1"/>
  <c r="AB47" i="7"/>
  <c r="AD47" i="7" s="1"/>
  <c r="AB49" i="7"/>
  <c r="AD49" i="7" s="1"/>
  <c r="AB63" i="7"/>
  <c r="AD63" i="7" s="1"/>
  <c r="AB65" i="7"/>
  <c r="AD65" i="7" s="1"/>
  <c r="AB78" i="7"/>
  <c r="AD78" i="7" s="1"/>
  <c r="AB92" i="7"/>
  <c r="AD92" i="7" s="1"/>
  <c r="AB21" i="7"/>
  <c r="AD21" i="7" s="1"/>
  <c r="AB23" i="7"/>
  <c r="AD23" i="7" s="1"/>
  <c r="AB29" i="7"/>
  <c r="AD29" i="7" s="1"/>
  <c r="AB37" i="7"/>
  <c r="AD37" i="7" s="1"/>
  <c r="AB39" i="7"/>
  <c r="AD39" i="7" s="1"/>
  <c r="AB45" i="7"/>
  <c r="AD45" i="7" s="1"/>
  <c r="AB53" i="7"/>
  <c r="AD53" i="7" s="1"/>
  <c r="AB55" i="7"/>
  <c r="AD55" i="7" s="1"/>
  <c r="AB61" i="7"/>
  <c r="AD61" i="7" s="1"/>
  <c r="AB76" i="7"/>
  <c r="AD76" i="7" s="1"/>
  <c r="AB85" i="7"/>
  <c r="AD85" i="7" s="1"/>
  <c r="AB25" i="7"/>
  <c r="AD25" i="7" s="1"/>
  <c r="AB27" i="7"/>
  <c r="AD27" i="7" s="1"/>
  <c r="AB41" i="7"/>
  <c r="AD41" i="7" s="1"/>
  <c r="AB43" i="7"/>
  <c r="AD43" i="7" s="1"/>
  <c r="AB57" i="7"/>
  <c r="AD57" i="7" s="1"/>
  <c r="AB59" i="7"/>
  <c r="AD59" i="7" s="1"/>
  <c r="AB70" i="7"/>
  <c r="AD70" i="7" s="1"/>
  <c r="AB72" i="7"/>
  <c r="AD72" i="7" s="1"/>
  <c r="AB74" i="7"/>
  <c r="AD74" i="7" s="1"/>
  <c r="AB83" i="7"/>
  <c r="AD83" i="7" s="1"/>
  <c r="AB88" i="7"/>
  <c r="AD88" i="7" s="1"/>
  <c r="AB95" i="7"/>
  <c r="AD95" i="7" s="1"/>
  <c r="AB97" i="7"/>
  <c r="AD97" i="7" s="1"/>
  <c r="AB16" i="7"/>
  <c r="AD16" i="7" s="1"/>
  <c r="AB18" i="7"/>
  <c r="AD18" i="7" s="1"/>
  <c r="AB20" i="7"/>
  <c r="AD20" i="7" s="1"/>
  <c r="AB32" i="7"/>
  <c r="AD32" i="7" s="1"/>
  <c r="AB34" i="7"/>
  <c r="AD34" i="7" s="1"/>
  <c r="AB36" i="7"/>
  <c r="AD36" i="7" s="1"/>
  <c r="AB48" i="7"/>
  <c r="AD48" i="7" s="1"/>
  <c r="AB50" i="7"/>
  <c r="AD50" i="7" s="1"/>
  <c r="AB52" i="7"/>
  <c r="AD52" i="7" s="1"/>
  <c r="AB64" i="7"/>
  <c r="AD64" i="7" s="1"/>
  <c r="AB66" i="7"/>
  <c r="AD66" i="7" s="1"/>
  <c r="AB68" i="7"/>
  <c r="AD68" i="7" s="1"/>
  <c r="AU15" i="7"/>
  <c r="AW15" i="7" s="1"/>
  <c r="AU28" i="7"/>
  <c r="AW28" i="7" s="1"/>
  <c r="AU31" i="7"/>
  <c r="AW31" i="7" s="1"/>
  <c r="AU44" i="7"/>
  <c r="AW44" i="7" s="1"/>
  <c r="AU47" i="7"/>
  <c r="AW47" i="7" s="1"/>
  <c r="AU60" i="7"/>
  <c r="AW60" i="7" s="1"/>
  <c r="AU63" i="7"/>
  <c r="AW63" i="7" s="1"/>
  <c r="AU76" i="7"/>
  <c r="AW76" i="7" s="1"/>
  <c r="AU79" i="7"/>
  <c r="AW79" i="7" s="1"/>
  <c r="AU87" i="7"/>
  <c r="AW87" i="7" s="1"/>
  <c r="AU95" i="7"/>
  <c r="AW95" i="7" s="1"/>
  <c r="AU18" i="7"/>
  <c r="AW18" i="7" s="1"/>
  <c r="AU21" i="7"/>
  <c r="AW21" i="7" s="1"/>
  <c r="AU34" i="7"/>
  <c r="AW34" i="7" s="1"/>
  <c r="AU37" i="7"/>
  <c r="AW37" i="7" s="1"/>
  <c r="AU50" i="7"/>
  <c r="AW50" i="7" s="1"/>
  <c r="AU53" i="7"/>
  <c r="AW53" i="7" s="1"/>
  <c r="AU66" i="7"/>
  <c r="AW66" i="7" s="1"/>
  <c r="AU69" i="7"/>
  <c r="AW69" i="7" s="1"/>
  <c r="AU24" i="7"/>
  <c r="AW24" i="7" s="1"/>
  <c r="AU27" i="7"/>
  <c r="AW27" i="7" s="1"/>
  <c r="AU40" i="7"/>
  <c r="AW40" i="7" s="1"/>
  <c r="AU43" i="7"/>
  <c r="AW43" i="7" s="1"/>
  <c r="AU56" i="7"/>
  <c r="AW56" i="7" s="1"/>
  <c r="AU59" i="7"/>
  <c r="AW59" i="7" s="1"/>
  <c r="AU72" i="7"/>
  <c r="AW72" i="7" s="1"/>
  <c r="AU75" i="7"/>
  <c r="AW75" i="7" s="1"/>
  <c r="AU84" i="7"/>
  <c r="AW84" i="7" s="1"/>
  <c r="AU92" i="7"/>
  <c r="AW92" i="7" s="1"/>
  <c r="AU17" i="7"/>
  <c r="AW17" i="7" s="1"/>
  <c r="AU30" i="7"/>
  <c r="AW30" i="7" s="1"/>
  <c r="AU33" i="7"/>
  <c r="AW33" i="7" s="1"/>
  <c r="AU46" i="7"/>
  <c r="AW46" i="7" s="1"/>
  <c r="AU49" i="7"/>
  <c r="AW49" i="7" s="1"/>
  <c r="AU62" i="7"/>
  <c r="AW62" i="7" s="1"/>
  <c r="AU65" i="7"/>
  <c r="AW65" i="7" s="1"/>
  <c r="AU78" i="7"/>
  <c r="AW78" i="7" s="1"/>
  <c r="AU81" i="7"/>
  <c r="AW81" i="7" s="1"/>
  <c r="AU86" i="7"/>
  <c r="AW86" i="7" s="1"/>
  <c r="AU89" i="7"/>
  <c r="AW89" i="7" s="1"/>
  <c r="AU94" i="7"/>
  <c r="AW94" i="7" s="1"/>
  <c r="AU97" i="7"/>
  <c r="AW97" i="7" s="1"/>
  <c r="AU68" i="7"/>
  <c r="AW68" i="7" s="1"/>
  <c r="AU71" i="7"/>
  <c r="AW71" i="7" s="1"/>
  <c r="AU83" i="7"/>
  <c r="AW83" i="7" s="1"/>
  <c r="AU91" i="7"/>
  <c r="AW91" i="7" s="1"/>
  <c r="AU26" i="7"/>
  <c r="AW26" i="7" s="1"/>
  <c r="AU29" i="7"/>
  <c r="AW29" i="7" s="1"/>
  <c r="AU42" i="7"/>
  <c r="AW42" i="7" s="1"/>
  <c r="AU45" i="7"/>
  <c r="AW45" i="7" s="1"/>
  <c r="AU58" i="7"/>
  <c r="AW58" i="7" s="1"/>
  <c r="AU61" i="7"/>
  <c r="AW61" i="7" s="1"/>
  <c r="AU74" i="7"/>
  <c r="AW74" i="7" s="1"/>
  <c r="AB82" i="7"/>
  <c r="AD82" i="7" s="1"/>
  <c r="AB86" i="7"/>
  <c r="AD86" i="7" s="1"/>
  <c r="AB90" i="7"/>
  <c r="AD90" i="7" s="1"/>
  <c r="AB94" i="7"/>
  <c r="AD94" i="7" s="1"/>
  <c r="N69" i="27"/>
  <c r="P75" i="27"/>
  <c r="M69" i="27"/>
  <c r="M12" i="27"/>
  <c r="P83" i="27"/>
  <c r="P37" i="27"/>
  <c r="M78" i="27"/>
  <c r="N78" i="27"/>
  <c r="P27" i="27"/>
  <c r="P61" i="27"/>
  <c r="N50" i="27"/>
  <c r="M39" i="27"/>
  <c r="P29" i="27"/>
  <c r="N58" i="27"/>
  <c r="N30" i="27"/>
  <c r="N39" i="27"/>
  <c r="M27" i="27"/>
  <c r="P66" i="27"/>
  <c r="M59" i="27"/>
  <c r="M52" i="27"/>
  <c r="P67" i="27"/>
  <c r="P45" i="27"/>
  <c r="P6" i="27"/>
  <c r="M29" i="27"/>
  <c r="M31" i="27"/>
  <c r="M44" i="27"/>
  <c r="P50" i="27"/>
  <c r="P13" i="27"/>
  <c r="M45" i="27"/>
  <c r="N70" i="27"/>
  <c r="P58" i="27"/>
  <c r="P21" i="27"/>
  <c r="M84" i="27"/>
  <c r="M47" i="27"/>
  <c r="M3" i="27"/>
  <c r="M36" i="27"/>
  <c r="N42" i="27"/>
  <c r="N47" i="27"/>
  <c r="N3" i="27"/>
  <c r="P42" i="27"/>
  <c r="M79" i="27"/>
  <c r="N79" i="27"/>
  <c r="N74" i="27"/>
  <c r="P18" i="27"/>
  <c r="M4" i="27"/>
  <c r="P14" i="27"/>
  <c r="P19" i="27"/>
  <c r="P34" i="27"/>
  <c r="P53" i="27"/>
  <c r="N62" i="27"/>
  <c r="N71" i="27"/>
  <c r="P5" i="27"/>
  <c r="P10" i="27"/>
  <c r="M15" i="27"/>
  <c r="M20" i="27"/>
  <c r="M35" i="27"/>
  <c r="M54" i="27"/>
  <c r="M63" i="27"/>
  <c r="M68" i="27"/>
  <c r="N77" i="27"/>
  <c r="N82" i="27"/>
  <c r="M77" i="27"/>
  <c r="N15" i="27"/>
  <c r="P35" i="27"/>
  <c r="N54" i="27"/>
  <c r="N63" i="27"/>
  <c r="P82" i="27"/>
  <c r="N10" i="27"/>
  <c r="N26" i="27"/>
  <c r="P59" i="27"/>
  <c r="N6" i="27"/>
  <c r="M11" i="27"/>
  <c r="M21" i="27"/>
  <c r="P26" i="27"/>
  <c r="M83" i="27"/>
  <c r="N31" i="27"/>
  <c r="M46" i="27"/>
  <c r="M51" i="27"/>
  <c r="M55" i="27"/>
  <c r="M60" i="27"/>
  <c r="P74" i="27"/>
  <c r="N46" i="27"/>
  <c r="P51" i="27"/>
  <c r="N55" i="27"/>
  <c r="M7" i="27"/>
  <c r="N22" i="27"/>
  <c r="M37" i="27"/>
  <c r="N7" i="27"/>
  <c r="N18" i="27"/>
  <c r="M61" i="27"/>
  <c r="N66" i="27"/>
  <c r="M70" i="27"/>
  <c r="M75" i="27"/>
  <c r="M23" i="27"/>
  <c r="M28" i="27"/>
  <c r="M43" i="27"/>
  <c r="N23" i="27"/>
  <c r="N38" i="27"/>
  <c r="P43" i="27"/>
  <c r="M85" i="27"/>
  <c r="N14" i="27"/>
  <c r="M19" i="27"/>
  <c r="N34" i="27"/>
  <c r="M53" i="27"/>
  <c r="M62" i="27"/>
  <c r="M67" i="27"/>
  <c r="M71" i="27"/>
  <c r="M76" i="27"/>
  <c r="P85" i="27"/>
  <c r="AT20" i="7"/>
  <c r="BM24" i="7"/>
  <c r="AA35" i="7"/>
  <c r="AT39" i="7"/>
  <c r="H44" i="7"/>
  <c r="AT52" i="7"/>
  <c r="BM56" i="7"/>
  <c r="AA67" i="7"/>
  <c r="AT71" i="7"/>
  <c r="H76" i="7"/>
  <c r="AT84" i="7"/>
  <c r="BM88" i="7"/>
  <c r="AT31" i="7"/>
  <c r="CF15" i="7"/>
  <c r="AA24" i="7"/>
  <c r="CF28" i="7"/>
  <c r="H33" i="7"/>
  <c r="BM43" i="7"/>
  <c r="CF47" i="7"/>
  <c r="AA56" i="7"/>
  <c r="CF60" i="7"/>
  <c r="H65" i="7"/>
  <c r="BM75" i="7"/>
  <c r="CF79" i="7"/>
  <c r="AA88" i="7"/>
  <c r="CF92" i="7"/>
  <c r="H97" i="7"/>
  <c r="BM16" i="7"/>
  <c r="AT15" i="7"/>
  <c r="H20" i="7"/>
  <c r="AT28" i="7"/>
  <c r="BM32" i="7"/>
  <c r="AA43" i="7"/>
  <c r="AT47" i="7"/>
  <c r="H52" i="7"/>
  <c r="AT60" i="7"/>
  <c r="BM64" i="7"/>
  <c r="AA75" i="7"/>
  <c r="AT79" i="7"/>
  <c r="H84" i="7"/>
  <c r="AT92" i="7"/>
  <c r="BM96" i="7"/>
  <c r="BM19" i="7"/>
  <c r="CF23" i="7"/>
  <c r="AA32" i="7"/>
  <c r="CF36" i="7"/>
  <c r="H41" i="7"/>
  <c r="BM51" i="7"/>
  <c r="CF55" i="7"/>
  <c r="AA64" i="7"/>
  <c r="CF68" i="7"/>
  <c r="H73" i="7"/>
  <c r="BM83" i="7"/>
  <c r="CF87" i="7"/>
  <c r="AA96" i="7"/>
  <c r="AA19" i="7"/>
  <c r="AT23" i="7"/>
  <c r="H28" i="7"/>
  <c r="AT36" i="7"/>
  <c r="BM40" i="7"/>
  <c r="AA51" i="7"/>
  <c r="AT55" i="7"/>
  <c r="H60" i="7"/>
  <c r="AT68" i="7"/>
  <c r="BM72" i="7"/>
  <c r="AA83" i="7"/>
  <c r="AT87" i="7"/>
  <c r="H92" i="7"/>
  <c r="AA27" i="7"/>
  <c r="H36" i="7"/>
  <c r="H17" i="7"/>
  <c r="BM27" i="7"/>
  <c r="CF31" i="7"/>
  <c r="AA40" i="7"/>
  <c r="CF44" i="7"/>
  <c r="H49" i="7"/>
  <c r="BM59" i="7"/>
  <c r="CF63" i="7"/>
  <c r="AA72" i="7"/>
  <c r="CF76" i="7"/>
  <c r="H81" i="7"/>
  <c r="BM91" i="7"/>
  <c r="CF95" i="7"/>
  <c r="AT44" i="7"/>
  <c r="BM48" i="7"/>
  <c r="AA59" i="7"/>
  <c r="AT63" i="7"/>
  <c r="H68" i="7"/>
  <c r="AT76" i="7"/>
  <c r="BM80" i="7"/>
  <c r="AA91" i="7"/>
  <c r="AT95" i="7"/>
  <c r="AA16" i="7"/>
  <c r="CF20" i="7"/>
  <c r="H25" i="7"/>
  <c r="BM35" i="7"/>
  <c r="CF39" i="7"/>
  <c r="AA48" i="7"/>
  <c r="CF52" i="7"/>
  <c r="H57" i="7"/>
  <c r="BM67" i="7"/>
  <c r="CF71" i="7"/>
  <c r="AA80" i="7"/>
  <c r="CF84" i="7"/>
  <c r="H89" i="7"/>
  <c r="H15" i="7"/>
  <c r="AT18" i="7"/>
  <c r="CF18" i="7"/>
  <c r="AA22" i="7"/>
  <c r="BM22" i="7"/>
  <c r="H23" i="7"/>
  <c r="AT26" i="7"/>
  <c r="CF26" i="7"/>
  <c r="AA30" i="7"/>
  <c r="BM30" i="7"/>
  <c r="H31" i="7"/>
  <c r="AT34" i="7"/>
  <c r="CF34" i="7"/>
  <c r="AA38" i="7"/>
  <c r="BM38" i="7"/>
  <c r="H39" i="7"/>
  <c r="AT42" i="7"/>
  <c r="CF42" i="7"/>
  <c r="AA46" i="7"/>
  <c r="BM46" i="7"/>
  <c r="H47" i="7"/>
  <c r="AT50" i="7"/>
  <c r="CF50" i="7"/>
  <c r="AA54" i="7"/>
  <c r="BM54" i="7"/>
  <c r="H55" i="7"/>
  <c r="AT58" i="7"/>
  <c r="CF58" i="7"/>
  <c r="AA62" i="7"/>
  <c r="BM62" i="7"/>
  <c r="H63" i="7"/>
  <c r="AT66" i="7"/>
  <c r="CF66" i="7"/>
  <c r="AA70" i="7"/>
  <c r="BM70" i="7"/>
  <c r="H71" i="7"/>
  <c r="AT74" i="7"/>
  <c r="CF74" i="7"/>
  <c r="AA78" i="7"/>
  <c r="BM78" i="7"/>
  <c r="H79" i="7"/>
  <c r="AT82" i="7"/>
  <c r="CF82" i="7"/>
  <c r="AA86" i="7"/>
  <c r="BM86" i="7"/>
  <c r="H87" i="7"/>
  <c r="AT90" i="7"/>
  <c r="CF90" i="7"/>
  <c r="AA94" i="7"/>
  <c r="BM94" i="7"/>
  <c r="H95" i="7"/>
  <c r="AT98" i="7"/>
  <c r="CF98" i="7"/>
  <c r="AA17" i="7"/>
  <c r="BM17" i="7"/>
  <c r="H18" i="7"/>
  <c r="AT21" i="7"/>
  <c r="CF21" i="7"/>
  <c r="AA25" i="7"/>
  <c r="BM25" i="7"/>
  <c r="H26" i="7"/>
  <c r="AT29" i="7"/>
  <c r="CF29" i="7"/>
  <c r="AA33" i="7"/>
  <c r="BM33" i="7"/>
  <c r="H34" i="7"/>
  <c r="AT37" i="7"/>
  <c r="CF37" i="7"/>
  <c r="AA41" i="7"/>
  <c r="BM41" i="7"/>
  <c r="H42" i="7"/>
  <c r="AT45" i="7"/>
  <c r="CF45" i="7"/>
  <c r="AA49" i="7"/>
  <c r="BM49" i="7"/>
  <c r="H50" i="7"/>
  <c r="AT53" i="7"/>
  <c r="CF53" i="7"/>
  <c r="AA57" i="7"/>
  <c r="BM57" i="7"/>
  <c r="H58" i="7"/>
  <c r="AT61" i="7"/>
  <c r="CF61" i="7"/>
  <c r="AA65" i="7"/>
  <c r="BM65" i="7"/>
  <c r="H66" i="7"/>
  <c r="AT69" i="7"/>
  <c r="CF69" i="7"/>
  <c r="AA73" i="7"/>
  <c r="BM73" i="7"/>
  <c r="H74" i="7"/>
  <c r="AT77" i="7"/>
  <c r="CF77" i="7"/>
  <c r="AA81" i="7"/>
  <c r="BM81" i="7"/>
  <c r="H82" i="7"/>
  <c r="AT85" i="7"/>
  <c r="CF85" i="7"/>
  <c r="AA89" i="7"/>
  <c r="BM89" i="7"/>
  <c r="H90" i="7"/>
  <c r="AT93" i="7"/>
  <c r="CF93" i="7"/>
  <c r="AA97" i="7"/>
  <c r="BM97" i="7"/>
  <c r="H98" i="7"/>
  <c r="AT16" i="7"/>
  <c r="CF16" i="7"/>
  <c r="AA20" i="7"/>
  <c r="BM20" i="7"/>
  <c r="H21" i="7"/>
  <c r="AT24" i="7"/>
  <c r="CF24" i="7"/>
  <c r="AA28" i="7"/>
  <c r="BM28" i="7"/>
  <c r="H29" i="7"/>
  <c r="AT32" i="7"/>
  <c r="CF32" i="7"/>
  <c r="AA36" i="7"/>
  <c r="BM36" i="7"/>
  <c r="H37" i="7"/>
  <c r="AT40" i="7"/>
  <c r="CF40" i="7"/>
  <c r="AA44" i="7"/>
  <c r="BM44" i="7"/>
  <c r="H45" i="7"/>
  <c r="AT48" i="7"/>
  <c r="CF48" i="7"/>
  <c r="AA52" i="7"/>
  <c r="BM52" i="7"/>
  <c r="H53" i="7"/>
  <c r="AT56" i="7"/>
  <c r="CF56" i="7"/>
  <c r="AA60" i="7"/>
  <c r="BM60" i="7"/>
  <c r="H61" i="7"/>
  <c r="AT64" i="7"/>
  <c r="CF64" i="7"/>
  <c r="AA68" i="7"/>
  <c r="BM68" i="7"/>
  <c r="H69" i="7"/>
  <c r="AT72" i="7"/>
  <c r="CF72" i="7"/>
  <c r="AA76" i="7"/>
  <c r="BM76" i="7"/>
  <c r="H77" i="7"/>
  <c r="AT80" i="7"/>
  <c r="CF80" i="7"/>
  <c r="AA84" i="7"/>
  <c r="BM84" i="7"/>
  <c r="H85" i="7"/>
  <c r="AT88" i="7"/>
  <c r="CF88" i="7"/>
  <c r="AA92" i="7"/>
  <c r="BM92" i="7"/>
  <c r="H93" i="7"/>
  <c r="AT96" i="7"/>
  <c r="CF96" i="7"/>
  <c r="AA15" i="7"/>
  <c r="BM15" i="7"/>
  <c r="H16" i="7"/>
  <c r="AT19" i="7"/>
  <c r="CF19" i="7"/>
  <c r="AA23" i="7"/>
  <c r="BM23" i="7"/>
  <c r="H24" i="7"/>
  <c r="AT27" i="7"/>
  <c r="CF27" i="7"/>
  <c r="AA31" i="7"/>
  <c r="BM31" i="7"/>
  <c r="H32" i="7"/>
  <c r="AT35" i="7"/>
  <c r="CF35" i="7"/>
  <c r="AA39" i="7"/>
  <c r="BM39" i="7"/>
  <c r="H40" i="7"/>
  <c r="AT43" i="7"/>
  <c r="CF43" i="7"/>
  <c r="AA47" i="7"/>
  <c r="BM47" i="7"/>
  <c r="H48" i="7"/>
  <c r="AT51" i="7"/>
  <c r="CF51" i="7"/>
  <c r="AA55" i="7"/>
  <c r="BM55" i="7"/>
  <c r="H56" i="7"/>
  <c r="AT59" i="7"/>
  <c r="CF59" i="7"/>
  <c r="AA63" i="7"/>
  <c r="BM63" i="7"/>
  <c r="H64" i="7"/>
  <c r="AT67" i="7"/>
  <c r="CF67" i="7"/>
  <c r="AA71" i="7"/>
  <c r="BM71" i="7"/>
  <c r="H72" i="7"/>
  <c r="AT75" i="7"/>
  <c r="CF75" i="7"/>
  <c r="AA79" i="7"/>
  <c r="BM79" i="7"/>
  <c r="H80" i="7"/>
  <c r="AT83" i="7"/>
  <c r="CF83" i="7"/>
  <c r="AA87" i="7"/>
  <c r="BM87" i="7"/>
  <c r="H88" i="7"/>
  <c r="AT91" i="7"/>
  <c r="CF91" i="7"/>
  <c r="AA95" i="7"/>
  <c r="BM95" i="7"/>
  <c r="H96" i="7"/>
  <c r="AA18" i="7"/>
  <c r="BM18" i="7"/>
  <c r="H19" i="7"/>
  <c r="AT22" i="7"/>
  <c r="CF22" i="7"/>
  <c r="AA26" i="7"/>
  <c r="BM26" i="7"/>
  <c r="H27" i="7"/>
  <c r="AT30" i="7"/>
  <c r="CF30" i="7"/>
  <c r="AA34" i="7"/>
  <c r="BM34" i="7"/>
  <c r="H35" i="7"/>
  <c r="AT38" i="7"/>
  <c r="CF38" i="7"/>
  <c r="AA42" i="7"/>
  <c r="BM42" i="7"/>
  <c r="H43" i="7"/>
  <c r="AT46" i="7"/>
  <c r="CF46" i="7"/>
  <c r="AA50" i="7"/>
  <c r="BM50" i="7"/>
  <c r="H51" i="7"/>
  <c r="AT54" i="7"/>
  <c r="CF54" i="7"/>
  <c r="AA58" i="7"/>
  <c r="BM58" i="7"/>
  <c r="H59" i="7"/>
  <c r="AT62" i="7"/>
  <c r="CF62" i="7"/>
  <c r="AA66" i="7"/>
  <c r="BM66" i="7"/>
  <c r="H67" i="7"/>
  <c r="AT70" i="7"/>
  <c r="CF70" i="7"/>
  <c r="AA74" i="7"/>
  <c r="BM74" i="7"/>
  <c r="H75" i="7"/>
  <c r="AT78" i="7"/>
  <c r="CF78" i="7"/>
  <c r="AA82" i="7"/>
  <c r="BM82" i="7"/>
  <c r="H83" i="7"/>
  <c r="AT86" i="7"/>
  <c r="CF86" i="7"/>
  <c r="AA90" i="7"/>
  <c r="BM90" i="7"/>
  <c r="H91" i="7"/>
  <c r="AT94" i="7"/>
  <c r="CF94" i="7"/>
  <c r="AA98" i="7"/>
  <c r="BM98" i="7"/>
  <c r="AT17" i="7"/>
  <c r="CF17" i="7"/>
  <c r="AA21" i="7"/>
  <c r="BM21" i="7"/>
  <c r="H22" i="7"/>
  <c r="AT25" i="7"/>
  <c r="CF25" i="7"/>
  <c r="AA29" i="7"/>
  <c r="BM29" i="7"/>
  <c r="H30" i="7"/>
  <c r="AT33" i="7"/>
  <c r="CF33" i="7"/>
  <c r="AA37" i="7"/>
  <c r="BM37" i="7"/>
  <c r="H38" i="7"/>
  <c r="AT41" i="7"/>
  <c r="CF41" i="7"/>
  <c r="AA45" i="7"/>
  <c r="BM45" i="7"/>
  <c r="H46" i="7"/>
  <c r="AT49" i="7"/>
  <c r="CF49" i="7"/>
  <c r="AA53" i="7"/>
  <c r="BM53" i="7"/>
  <c r="H54" i="7"/>
  <c r="AT57" i="7"/>
  <c r="CF57" i="7"/>
  <c r="AA61" i="7"/>
  <c r="BM61" i="7"/>
  <c r="H62" i="7"/>
  <c r="AT65" i="7"/>
  <c r="CF65" i="7"/>
  <c r="AA69" i="7"/>
  <c r="BM69" i="7"/>
  <c r="H70" i="7"/>
  <c r="AT73" i="7"/>
  <c r="CF73" i="7"/>
  <c r="AA77" i="7"/>
  <c r="BM77" i="7"/>
  <c r="H78" i="7"/>
  <c r="AT81" i="7"/>
  <c r="CF81" i="7"/>
  <c r="AA85" i="7"/>
  <c r="BM85" i="7"/>
  <c r="H86" i="7"/>
  <c r="AT89" i="7"/>
  <c r="CF89" i="7"/>
  <c r="AA93" i="7"/>
  <c r="BM93" i="7"/>
  <c r="H94" i="7"/>
  <c r="AT97" i="7"/>
  <c r="F2" i="27"/>
  <c r="N4" i="27"/>
  <c r="M9" i="27"/>
  <c r="N12" i="27"/>
  <c r="M17" i="27"/>
  <c r="N20" i="27"/>
  <c r="M25" i="27"/>
  <c r="N28" i="27"/>
  <c r="M33" i="27"/>
  <c r="N36" i="27"/>
  <c r="M41" i="27"/>
  <c r="N44" i="27"/>
  <c r="M49" i="27"/>
  <c r="N52" i="27"/>
  <c r="M57" i="27"/>
  <c r="N60" i="27"/>
  <c r="M65" i="27"/>
  <c r="N68" i="27"/>
  <c r="M73" i="27"/>
  <c r="N76" i="27"/>
  <c r="M81" i="27"/>
  <c r="N84" i="27"/>
  <c r="G2" i="27"/>
  <c r="N9" i="27"/>
  <c r="N17" i="27"/>
  <c r="M22" i="27"/>
  <c r="N25" i="27"/>
  <c r="M30" i="27"/>
  <c r="N33" i="27"/>
  <c r="M38" i="27"/>
  <c r="N41" i="27"/>
  <c r="N49" i="27"/>
  <c r="N57" i="27"/>
  <c r="N65" i="27"/>
  <c r="N73" i="27"/>
  <c r="N81" i="27"/>
  <c r="I2" i="27"/>
  <c r="M2" i="27"/>
  <c r="M8" i="27"/>
  <c r="N11" i="27"/>
  <c r="M16" i="27"/>
  <c r="M24" i="27"/>
  <c r="M32" i="27"/>
  <c r="M40" i="27"/>
  <c r="M48" i="27"/>
  <c r="M56" i="27"/>
  <c r="M64" i="27"/>
  <c r="M72" i="27"/>
  <c r="M80" i="27"/>
  <c r="N2" i="27"/>
  <c r="M5" i="27"/>
  <c r="N8" i="27"/>
  <c r="M13" i="27"/>
  <c r="N16" i="27"/>
  <c r="N24" i="27"/>
  <c r="N32" i="27"/>
  <c r="N40" i="27"/>
  <c r="N48" i="27"/>
  <c r="N56" i="27"/>
  <c r="N64" i="27"/>
  <c r="N72" i="27"/>
  <c r="N80" i="27"/>
  <c r="A4" i="27"/>
  <c r="H4" i="27" s="1"/>
  <c r="D6" i="28"/>
  <c r="A3" i="27"/>
  <c r="I3" i="27" s="1"/>
  <c r="B5" i="28"/>
  <c r="B6" i="28" s="1"/>
  <c r="K2" i="27"/>
  <c r="D5" i="28"/>
  <c r="H2" i="27"/>
  <c r="P9" i="22"/>
  <c r="V9" i="22" s="1"/>
  <c r="Q11" i="22"/>
  <c r="AP16" i="7"/>
  <c r="AQ15" i="7"/>
  <c r="AR15" i="7" s="1"/>
  <c r="P10" i="22"/>
  <c r="E15" i="7"/>
  <c r="F15" i="7" s="1"/>
  <c r="D16" i="7"/>
  <c r="BI15" i="7"/>
  <c r="W15" i="7"/>
  <c r="CB15" i="7"/>
  <c r="G4" i="27" l="1"/>
  <c r="H3" i="27"/>
  <c r="K3" i="27"/>
  <c r="G3" i="27"/>
  <c r="F3" i="27"/>
  <c r="F4" i="27"/>
  <c r="K4" i="27"/>
  <c r="I4" i="27"/>
  <c r="A5" i="27"/>
  <c r="C8" i="28"/>
  <c r="D7" i="28"/>
  <c r="B7" i="28"/>
  <c r="W9" i="22"/>
  <c r="X9" i="22" s="1"/>
  <c r="AQ16" i="7"/>
  <c r="AR16" i="7" s="1"/>
  <c r="AS16" i="7" s="1"/>
  <c r="AO16" i="7"/>
  <c r="AP17" i="7"/>
  <c r="X15" i="7"/>
  <c r="W16" i="7"/>
  <c r="BJ15" i="7"/>
  <c r="BK15" i="7" s="1"/>
  <c r="BI16" i="7"/>
  <c r="Q12" i="22"/>
  <c r="P11" i="22"/>
  <c r="CB16" i="7"/>
  <c r="CC15" i="7"/>
  <c r="CD15" i="7" s="1"/>
  <c r="E16" i="7"/>
  <c r="C16" i="7"/>
  <c r="D17" i="7"/>
  <c r="G15" i="7"/>
  <c r="AS15" i="7"/>
  <c r="V10" i="22"/>
  <c r="A6" i="27" l="1"/>
  <c r="D8" i="28"/>
  <c r="B8" i="28"/>
  <c r="C9" i="28"/>
  <c r="I5" i="27"/>
  <c r="K5" i="27"/>
  <c r="F5" i="27"/>
  <c r="G5" i="27"/>
  <c r="H5" i="27"/>
  <c r="CE15" i="7"/>
  <c r="V11" i="22"/>
  <c r="X16" i="7"/>
  <c r="Y16" i="7" s="1"/>
  <c r="V16" i="7"/>
  <c r="W17" i="7"/>
  <c r="AO17" i="7"/>
  <c r="AP18" i="7"/>
  <c r="AQ17" i="7"/>
  <c r="AR17" i="7" s="1"/>
  <c r="CB17" i="7"/>
  <c r="CC16" i="7"/>
  <c r="CD16" i="7" s="1"/>
  <c r="CA16" i="7"/>
  <c r="BF16" i="7"/>
  <c r="AX16" i="7" s="1"/>
  <c r="T15" i="7"/>
  <c r="M15" i="7" s="1"/>
  <c r="D18" i="7"/>
  <c r="C17" i="7"/>
  <c r="E17" i="7"/>
  <c r="F17" i="7" s="1"/>
  <c r="Q13" i="22"/>
  <c r="P12" i="22"/>
  <c r="Y15" i="7"/>
  <c r="BI17" i="7"/>
  <c r="BJ16" i="7"/>
  <c r="BK16" i="7" s="1"/>
  <c r="BH16" i="7"/>
  <c r="W10" i="22"/>
  <c r="X10" i="22" s="1"/>
  <c r="BF15" i="7"/>
  <c r="AX15" i="7" s="1"/>
  <c r="F16" i="7"/>
  <c r="BL15" i="7"/>
  <c r="B9" i="28" l="1"/>
  <c r="A7" i="27"/>
  <c r="C10" i="28"/>
  <c r="D9" i="28"/>
  <c r="K6" i="27"/>
  <c r="F6" i="27"/>
  <c r="I6" i="27"/>
  <c r="G6" i="27"/>
  <c r="H6" i="27"/>
  <c r="L15" i="7"/>
  <c r="Q15" i="7" s="1"/>
  <c r="R15" i="7" s="1"/>
  <c r="AY15" i="7"/>
  <c r="BC15" i="7" s="1"/>
  <c r="AZ15" i="7"/>
  <c r="AZ16" i="7" s="1"/>
  <c r="CC17" i="7"/>
  <c r="CD17" i="7" s="1"/>
  <c r="CE17" i="7" s="1"/>
  <c r="CA17" i="7"/>
  <c r="CB18" i="7"/>
  <c r="CE16" i="7"/>
  <c r="BI18" i="7"/>
  <c r="BJ17" i="7"/>
  <c r="BK17" i="7" s="1"/>
  <c r="BL17" i="7" s="1"/>
  <c r="BH17" i="7"/>
  <c r="AS17" i="7"/>
  <c r="C18" i="7"/>
  <c r="D19" i="7"/>
  <c r="E18" i="7"/>
  <c r="Z16" i="7"/>
  <c r="Z15" i="7"/>
  <c r="W11" i="22"/>
  <c r="X11" i="22" s="1"/>
  <c r="G17" i="7"/>
  <c r="G16" i="7"/>
  <c r="V12" i="22"/>
  <c r="Q14" i="22"/>
  <c r="P13" i="22"/>
  <c r="AQ18" i="7"/>
  <c r="AR18" i="7" s="1"/>
  <c r="AS18" i="7" s="1"/>
  <c r="AO18" i="7"/>
  <c r="AP19" i="7"/>
  <c r="BL16" i="7"/>
  <c r="AY16" i="7"/>
  <c r="BC16" i="7" s="1"/>
  <c r="W18" i="7"/>
  <c r="X17" i="7"/>
  <c r="V17" i="7"/>
  <c r="CR15" i="7"/>
  <c r="CJ15" i="7" s="1"/>
  <c r="BY15" i="7"/>
  <c r="BQ15" i="7" s="1"/>
  <c r="A8" i="27" l="1"/>
  <c r="C11" i="28"/>
  <c r="D10" i="28"/>
  <c r="B10" i="28"/>
  <c r="K7" i="27"/>
  <c r="I7" i="27"/>
  <c r="G7" i="27"/>
  <c r="F7" i="27"/>
  <c r="H7" i="27"/>
  <c r="N15" i="7"/>
  <c r="BR15" i="7"/>
  <c r="BV15" i="7" s="1"/>
  <c r="CK15" i="7"/>
  <c r="CO15" i="7" s="1"/>
  <c r="CP15" i="7" s="1"/>
  <c r="CR17" i="7"/>
  <c r="CK17" i="7" s="1"/>
  <c r="BF18" i="7"/>
  <c r="AY18" i="7" s="1"/>
  <c r="BY16" i="7"/>
  <c r="BR16" i="7" s="1"/>
  <c r="T17" i="7"/>
  <c r="M17" i="7" s="1"/>
  <c r="F18" i="7"/>
  <c r="CL15" i="7"/>
  <c r="AQ19" i="7"/>
  <c r="AR19" i="7" s="1"/>
  <c r="AO19" i="7"/>
  <c r="AP20" i="7"/>
  <c r="Y17" i="7"/>
  <c r="V13" i="22"/>
  <c r="W12" i="22"/>
  <c r="X12" i="22" s="1"/>
  <c r="AM15" i="7"/>
  <c r="AE15" i="7" s="1"/>
  <c r="C19" i="7"/>
  <c r="D20" i="7"/>
  <c r="E19" i="7"/>
  <c r="F19" i="7" s="1"/>
  <c r="BY17" i="7"/>
  <c r="BQ17" i="7" s="1"/>
  <c r="CB19" i="7"/>
  <c r="CC18" i="7"/>
  <c r="CD18" i="7" s="1"/>
  <c r="CA18" i="7"/>
  <c r="BS15" i="7"/>
  <c r="W19" i="7"/>
  <c r="X18" i="7"/>
  <c r="V18" i="7"/>
  <c r="AM16" i="7"/>
  <c r="AE16" i="7" s="1"/>
  <c r="BD16" i="7"/>
  <c r="BD15" i="7"/>
  <c r="Q15" i="22"/>
  <c r="P14" i="22"/>
  <c r="BF17" i="7"/>
  <c r="AY17" i="7" s="1"/>
  <c r="BI19" i="7"/>
  <c r="BJ18" i="7"/>
  <c r="BK18" i="7" s="1"/>
  <c r="BH18" i="7"/>
  <c r="T16" i="7"/>
  <c r="L16" i="7" s="1"/>
  <c r="CR16" i="7"/>
  <c r="CJ16" i="7" s="1"/>
  <c r="D11" i="28" l="1"/>
  <c r="A9" i="27"/>
  <c r="B11" i="28"/>
  <c r="C12" i="28"/>
  <c r="F8" i="27"/>
  <c r="K8" i="27"/>
  <c r="I8" i="27"/>
  <c r="H8" i="27"/>
  <c r="G8" i="27"/>
  <c r="CJ17" i="7"/>
  <c r="CO17" i="7" s="1"/>
  <c r="CK16" i="7"/>
  <c r="CO16" i="7" s="1"/>
  <c r="AF16" i="7"/>
  <c r="AJ16" i="7" s="1"/>
  <c r="BR17" i="7"/>
  <c r="BV17" i="7" s="1"/>
  <c r="L17" i="7"/>
  <c r="Q17" i="7" s="1"/>
  <c r="AX18" i="7"/>
  <c r="BC18" i="7" s="1"/>
  <c r="M16" i="7"/>
  <c r="Q16" i="7" s="1"/>
  <c r="R16" i="7" s="1"/>
  <c r="AG15" i="7"/>
  <c r="AG16" i="7" s="1"/>
  <c r="Q16" i="22"/>
  <c r="P15" i="22"/>
  <c r="AF15" i="7"/>
  <c r="AJ15" i="7" s="1"/>
  <c r="N16" i="7"/>
  <c r="E20" i="7"/>
  <c r="F20" i="7" s="1"/>
  <c r="G20" i="7" s="1"/>
  <c r="D21" i="7"/>
  <c r="C20" i="7"/>
  <c r="W13" i="22"/>
  <c r="X13" i="22" s="1"/>
  <c r="CC19" i="7"/>
  <c r="CD19" i="7" s="1"/>
  <c r="CE19" i="7" s="1"/>
  <c r="CA19" i="7"/>
  <c r="CB20" i="7"/>
  <c r="CE18" i="7"/>
  <c r="AX17" i="7"/>
  <c r="Y18" i="7"/>
  <c r="Z17" i="7"/>
  <c r="CL16" i="7"/>
  <c r="BQ16" i="7"/>
  <c r="BL18" i="7"/>
  <c r="W20" i="7"/>
  <c r="X19" i="7"/>
  <c r="V19" i="7"/>
  <c r="BW15" i="7"/>
  <c r="AS19" i="7"/>
  <c r="BI20" i="7"/>
  <c r="BH19" i="7"/>
  <c r="BJ19" i="7"/>
  <c r="BK19" i="7" s="1"/>
  <c r="V14" i="22"/>
  <c r="AP21" i="7"/>
  <c r="AQ20" i="7"/>
  <c r="AR20" i="7" s="1"/>
  <c r="AO20" i="7"/>
  <c r="G18" i="7"/>
  <c r="G19" i="7"/>
  <c r="CL17" i="7" l="1"/>
  <c r="A10" i="27"/>
  <c r="C13" i="28"/>
  <c r="D12" i="28"/>
  <c r="B12" i="28"/>
  <c r="I9" i="27"/>
  <c r="K9" i="27"/>
  <c r="F9" i="27"/>
  <c r="H9" i="27"/>
  <c r="G9" i="27"/>
  <c r="N17" i="7"/>
  <c r="CP16" i="7"/>
  <c r="CP17" i="7"/>
  <c r="BJ20" i="7"/>
  <c r="BK20" i="7" s="1"/>
  <c r="BL20" i="7" s="1"/>
  <c r="BI21" i="7"/>
  <c r="BH20" i="7"/>
  <c r="CR19" i="7"/>
  <c r="CJ19" i="7" s="1"/>
  <c r="T19" i="7"/>
  <c r="M19" i="7" s="1"/>
  <c r="CR18" i="7"/>
  <c r="CK18" i="7" s="1"/>
  <c r="AM17" i="7"/>
  <c r="AF17" i="7" s="1"/>
  <c r="E21" i="7"/>
  <c r="D22" i="7"/>
  <c r="C21" i="7"/>
  <c r="T20" i="7"/>
  <c r="M20" i="7" s="1"/>
  <c r="BY18" i="7"/>
  <c r="BQ18" i="7" s="1"/>
  <c r="AZ17" i="7"/>
  <c r="AZ18" i="7" s="1"/>
  <c r="CB21" i="7"/>
  <c r="CA20" i="7"/>
  <c r="CC20" i="7"/>
  <c r="CD20" i="7" s="1"/>
  <c r="BL19" i="7"/>
  <c r="V15" i="22"/>
  <c r="R17" i="7"/>
  <c r="AQ21" i="7"/>
  <c r="AR21" i="7" s="1"/>
  <c r="AP22" i="7"/>
  <c r="AO21" i="7"/>
  <c r="BF19" i="7"/>
  <c r="AY19" i="7" s="1"/>
  <c r="Y19" i="7"/>
  <c r="Z19" i="7" s="1"/>
  <c r="BS16" i="7"/>
  <c r="BS17" i="7" s="1"/>
  <c r="AK16" i="7"/>
  <c r="AK15" i="7"/>
  <c r="Q17" i="22"/>
  <c r="P16" i="22"/>
  <c r="W14" i="22"/>
  <c r="X14" i="22" s="1"/>
  <c r="V20" i="7"/>
  <c r="W21" i="7"/>
  <c r="X20" i="7"/>
  <c r="BV16" i="7"/>
  <c r="Z18" i="7"/>
  <c r="AS20" i="7"/>
  <c r="BC17" i="7"/>
  <c r="T18" i="7"/>
  <c r="L18" i="7" s="1"/>
  <c r="C14" i="28" l="1"/>
  <c r="D13" i="28"/>
  <c r="B13" i="28"/>
  <c r="A11" i="27"/>
  <c r="K10" i="27"/>
  <c r="F10" i="27"/>
  <c r="H10" i="27"/>
  <c r="I10" i="27"/>
  <c r="G10" i="27"/>
  <c r="BR18" i="7"/>
  <c r="BV18" i="7" s="1"/>
  <c r="BW18" i="7" s="1"/>
  <c r="M18" i="7"/>
  <c r="Q18" i="7" s="1"/>
  <c r="L20" i="7"/>
  <c r="Q20" i="7" s="1"/>
  <c r="CJ18" i="7"/>
  <c r="CL18" i="7" s="1"/>
  <c r="CL19" i="7" s="1"/>
  <c r="N18" i="7"/>
  <c r="AP23" i="7"/>
  <c r="AQ22" i="7"/>
  <c r="AR22" i="7" s="1"/>
  <c r="AS22" i="7" s="1"/>
  <c r="AO22" i="7"/>
  <c r="AE17" i="7"/>
  <c r="AJ17" i="7" s="1"/>
  <c r="CK19" i="7"/>
  <c r="CO19" i="7" s="1"/>
  <c r="AM18" i="7"/>
  <c r="AF18" i="7" s="1"/>
  <c r="AS21" i="7"/>
  <c r="CA21" i="7"/>
  <c r="CB22" i="7"/>
  <c r="CC21" i="7"/>
  <c r="CD21" i="7" s="1"/>
  <c r="CE21" i="7" s="1"/>
  <c r="BD18" i="7"/>
  <c r="BD17" i="7"/>
  <c r="BF20" i="7"/>
  <c r="AY20" i="7" s="1"/>
  <c r="BW16" i="7"/>
  <c r="BW17" i="7"/>
  <c r="V16" i="22"/>
  <c r="BS18" i="7"/>
  <c r="Y20" i="7"/>
  <c r="Q18" i="22"/>
  <c r="P17" i="22"/>
  <c r="AX19" i="7"/>
  <c r="AZ19" i="7" s="1"/>
  <c r="AM19" i="7"/>
  <c r="AE19" i="7" s="1"/>
  <c r="V21" i="7"/>
  <c r="X21" i="7"/>
  <c r="W22" i="7"/>
  <c r="D23" i="7"/>
  <c r="E22" i="7"/>
  <c r="F22" i="7" s="1"/>
  <c r="C22" i="7"/>
  <c r="BJ21" i="7"/>
  <c r="BK21" i="7" s="1"/>
  <c r="BH21" i="7"/>
  <c r="BI22" i="7"/>
  <c r="W15" i="22"/>
  <c r="X15" i="22" s="1"/>
  <c r="BY19" i="7"/>
  <c r="BQ19" i="7" s="1"/>
  <c r="F21" i="7"/>
  <c r="L19" i="7"/>
  <c r="Q19" i="7" s="1"/>
  <c r="CE20" i="7"/>
  <c r="BY20" i="7"/>
  <c r="BR20" i="7" s="1"/>
  <c r="K11" i="27" l="1"/>
  <c r="I11" i="27"/>
  <c r="F11" i="27"/>
  <c r="H11" i="27"/>
  <c r="G11" i="27"/>
  <c r="A12" i="27"/>
  <c r="B14" i="28"/>
  <c r="C15" i="28"/>
  <c r="D14" i="28"/>
  <c r="AF19" i="7"/>
  <c r="AJ19" i="7" s="1"/>
  <c r="BQ20" i="7"/>
  <c r="BV20" i="7" s="1"/>
  <c r="BR19" i="7"/>
  <c r="BV19" i="7" s="1"/>
  <c r="AE18" i="7"/>
  <c r="AJ18" i="7" s="1"/>
  <c r="CO18" i="7"/>
  <c r="CP18" i="7" s="1"/>
  <c r="AK17" i="7"/>
  <c r="BF22" i="7"/>
  <c r="AY22" i="7" s="1"/>
  <c r="CR21" i="7"/>
  <c r="CJ21" i="7" s="1"/>
  <c r="D24" i="7"/>
  <c r="E23" i="7"/>
  <c r="F23" i="7" s="1"/>
  <c r="G23" i="7" s="1"/>
  <c r="C23" i="7"/>
  <c r="R19" i="7"/>
  <c r="R20" i="7"/>
  <c r="R18" i="7"/>
  <c r="X22" i="7"/>
  <c r="Y22" i="7" s="1"/>
  <c r="W23" i="7"/>
  <c r="V22" i="7"/>
  <c r="AX20" i="7"/>
  <c r="AZ20" i="7" s="1"/>
  <c r="AP24" i="7"/>
  <c r="AQ23" i="7"/>
  <c r="AR23" i="7" s="1"/>
  <c r="AS23" i="7" s="1"/>
  <c r="AO23" i="7"/>
  <c r="CA22" i="7"/>
  <c r="CC22" i="7"/>
  <c r="CD22" i="7" s="1"/>
  <c r="CB23" i="7"/>
  <c r="BF21" i="7"/>
  <c r="AX21" i="7" s="1"/>
  <c r="BJ22" i="7"/>
  <c r="BK22" i="7" s="1"/>
  <c r="BL22" i="7" s="1"/>
  <c r="BI23" i="7"/>
  <c r="BH22" i="7"/>
  <c r="Y21" i="7"/>
  <c r="BS19" i="7"/>
  <c r="Z20" i="7"/>
  <c r="W16" i="22"/>
  <c r="X16" i="22" s="1"/>
  <c r="BL21" i="7"/>
  <c r="N19" i="7"/>
  <c r="N20" i="7" s="1"/>
  <c r="G21" i="7"/>
  <c r="G22" i="7"/>
  <c r="CR20" i="7"/>
  <c r="CJ20" i="7" s="1"/>
  <c r="V17" i="22"/>
  <c r="AG17" i="7"/>
  <c r="P18" i="22"/>
  <c r="Q19" i="22"/>
  <c r="BC19" i="7"/>
  <c r="F12" i="27" l="1"/>
  <c r="K12" i="27"/>
  <c r="I12" i="27"/>
  <c r="H12" i="27"/>
  <c r="G12" i="27"/>
  <c r="A13" i="27"/>
  <c r="C16" i="28"/>
  <c r="D15" i="28"/>
  <c r="B15" i="28"/>
  <c r="AG18" i="7"/>
  <c r="AG19" i="7" s="1"/>
  <c r="BS20" i="7"/>
  <c r="AY21" i="7"/>
  <c r="BC21" i="7" s="1"/>
  <c r="CK20" i="7"/>
  <c r="CO20" i="7" s="1"/>
  <c r="AK18" i="7"/>
  <c r="AK19" i="7"/>
  <c r="AZ21" i="7"/>
  <c r="AX22" i="7"/>
  <c r="BC22" i="7" s="1"/>
  <c r="CP19" i="7"/>
  <c r="CL20" i="7"/>
  <c r="CL21" i="7" s="1"/>
  <c r="CB24" i="7"/>
  <c r="CA23" i="7"/>
  <c r="CC23" i="7"/>
  <c r="CD23" i="7" s="1"/>
  <c r="CE23" i="7" s="1"/>
  <c r="D25" i="7"/>
  <c r="E24" i="7"/>
  <c r="F24" i="7" s="1"/>
  <c r="C24" i="7"/>
  <c r="T21" i="7"/>
  <c r="L21" i="7" s="1"/>
  <c r="Z22" i="7"/>
  <c r="X23" i="7"/>
  <c r="Y23" i="7" s="1"/>
  <c r="Z23" i="7" s="1"/>
  <c r="V23" i="7"/>
  <c r="W24" i="7"/>
  <c r="BD19" i="7"/>
  <c r="CE22" i="7"/>
  <c r="CK21" i="7"/>
  <c r="CO21" i="7" s="1"/>
  <c r="Q20" i="22"/>
  <c r="P19" i="22"/>
  <c r="BY22" i="7"/>
  <c r="BR22" i="7" s="1"/>
  <c r="Z21" i="7"/>
  <c r="BI24" i="7"/>
  <c r="BJ23" i="7"/>
  <c r="BK23" i="7" s="1"/>
  <c r="BL23" i="7" s="1"/>
  <c r="BH23" i="7"/>
  <c r="W17" i="22"/>
  <c r="X17" i="22" s="1"/>
  <c r="BY21" i="7"/>
  <c r="BR21" i="7" s="1"/>
  <c r="T22" i="7"/>
  <c r="L22" i="7" s="1"/>
  <c r="AM20" i="7"/>
  <c r="AF20" i="7" s="1"/>
  <c r="BC20" i="7"/>
  <c r="V18" i="22"/>
  <c r="T23" i="7"/>
  <c r="L23" i="7" s="1"/>
  <c r="BF23" i="7"/>
  <c r="AY23" i="7" s="1"/>
  <c r="BW19" i="7"/>
  <c r="BW20" i="7"/>
  <c r="AO24" i="7"/>
  <c r="AQ24" i="7"/>
  <c r="AR24" i="7" s="1"/>
  <c r="AS24" i="7" s="1"/>
  <c r="AP25" i="7"/>
  <c r="A14" i="27" l="1"/>
  <c r="D16" i="28"/>
  <c r="B16" i="28"/>
  <c r="C17" i="28"/>
  <c r="I13" i="27"/>
  <c r="K13" i="27"/>
  <c r="F13" i="27"/>
  <c r="H13" i="27"/>
  <c r="G13" i="27"/>
  <c r="AX23" i="7"/>
  <c r="BC23" i="7" s="1"/>
  <c r="BD23" i="7" s="1"/>
  <c r="AE20" i="7"/>
  <c r="AG20" i="7" s="1"/>
  <c r="BD22" i="7"/>
  <c r="M21" i="7"/>
  <c r="Q21" i="7" s="1"/>
  <c r="M23" i="7"/>
  <c r="Q23" i="7" s="1"/>
  <c r="AZ22" i="7"/>
  <c r="M22" i="7"/>
  <c r="Q22" i="7" s="1"/>
  <c r="BF24" i="7"/>
  <c r="AY24" i="7" s="1"/>
  <c r="N21" i="7"/>
  <c r="N22" i="7" s="1"/>
  <c r="N23" i="7" s="1"/>
  <c r="AM23" i="7"/>
  <c r="AE23" i="7" s="1"/>
  <c r="BD21" i="7"/>
  <c r="CR23" i="7"/>
  <c r="CK23" i="7" s="1"/>
  <c r="AM21" i="7"/>
  <c r="AF21" i="7" s="1"/>
  <c r="CC24" i="7"/>
  <c r="CD24" i="7" s="1"/>
  <c r="CE24" i="7" s="1"/>
  <c r="CA24" i="7"/>
  <c r="CB25" i="7"/>
  <c r="V19" i="22"/>
  <c r="CP20" i="7"/>
  <c r="CP21" i="7"/>
  <c r="BQ22" i="7"/>
  <c r="BV22" i="7" s="1"/>
  <c r="P20" i="22"/>
  <c r="Q21" i="22"/>
  <c r="CR22" i="7"/>
  <c r="CK22" i="7" s="1"/>
  <c r="BD20" i="7"/>
  <c r="BI25" i="7"/>
  <c r="BJ24" i="7"/>
  <c r="BK24" i="7" s="1"/>
  <c r="BL24" i="7" s="1"/>
  <c r="BH24" i="7"/>
  <c r="W25" i="7"/>
  <c r="V24" i="7"/>
  <c r="X24" i="7"/>
  <c r="Y24" i="7" s="1"/>
  <c r="G24" i="7"/>
  <c r="BY23" i="7"/>
  <c r="BR23" i="7" s="1"/>
  <c r="W18" i="22"/>
  <c r="X18" i="22" s="1"/>
  <c r="BQ21" i="7"/>
  <c r="D26" i="7"/>
  <c r="E25" i="7"/>
  <c r="F25" i="7" s="1"/>
  <c r="G25" i="7" s="1"/>
  <c r="C25" i="7"/>
  <c r="AP26" i="7"/>
  <c r="AQ25" i="7"/>
  <c r="AR25" i="7" s="1"/>
  <c r="AS25" i="7" s="1"/>
  <c r="AO25" i="7"/>
  <c r="AM22" i="7"/>
  <c r="AE22" i="7" s="1"/>
  <c r="B17" i="28" l="1"/>
  <c r="C18" i="28"/>
  <c r="D17" i="28"/>
  <c r="A15" i="27"/>
  <c r="F14" i="27"/>
  <c r="K14" i="27"/>
  <c r="I14" i="27"/>
  <c r="G14" i="27"/>
  <c r="H14" i="27"/>
  <c r="AZ23" i="7"/>
  <c r="AJ20" i="7"/>
  <c r="AK20" i="7" s="1"/>
  <c r="AF22" i="7"/>
  <c r="AJ22" i="7" s="1"/>
  <c r="BQ23" i="7"/>
  <c r="BV23" i="7" s="1"/>
  <c r="AF23" i="7"/>
  <c r="AJ23" i="7" s="1"/>
  <c r="T25" i="7"/>
  <c r="L25" i="7" s="1"/>
  <c r="Z24" i="7"/>
  <c r="CJ23" i="7"/>
  <c r="CO23" i="7" s="1"/>
  <c r="AX24" i="7"/>
  <c r="BC24" i="7" s="1"/>
  <c r="T24" i="7"/>
  <c r="L24" i="7" s="1"/>
  <c r="V20" i="22"/>
  <c r="C26" i="7"/>
  <c r="D27" i="7"/>
  <c r="E26" i="7"/>
  <c r="F26" i="7" s="1"/>
  <c r="G26" i="7" s="1"/>
  <c r="X25" i="7"/>
  <c r="Y25" i="7" s="1"/>
  <c r="Z25" i="7" s="1"/>
  <c r="V25" i="7"/>
  <c r="W26" i="7"/>
  <c r="CB26" i="7"/>
  <c r="CC25" i="7"/>
  <c r="CD25" i="7" s="1"/>
  <c r="CE25" i="7" s="1"/>
  <c r="CA25" i="7"/>
  <c r="CJ22" i="7"/>
  <c r="AE21" i="7"/>
  <c r="BF25" i="7"/>
  <c r="AY25" i="7" s="1"/>
  <c r="BS21" i="7"/>
  <c r="BS22" i="7" s="1"/>
  <c r="CR24" i="7"/>
  <c r="CJ24" i="7" s="1"/>
  <c r="AO26" i="7"/>
  <c r="AP27" i="7"/>
  <c r="AQ26" i="7"/>
  <c r="AR26" i="7" s="1"/>
  <c r="AS26" i="7" s="1"/>
  <c r="BY24" i="7"/>
  <c r="BQ24" i="7" s="1"/>
  <c r="R22" i="7"/>
  <c r="R21" i="7"/>
  <c r="R23" i="7"/>
  <c r="BJ25" i="7"/>
  <c r="BK25" i="7" s="1"/>
  <c r="BL25" i="7" s="1"/>
  <c r="BH25" i="7"/>
  <c r="BI26" i="7"/>
  <c r="Q22" i="22"/>
  <c r="P21" i="22"/>
  <c r="W19" i="22"/>
  <c r="X19" i="22" s="1"/>
  <c r="BV21" i="7"/>
  <c r="K15" i="27" l="1"/>
  <c r="H15" i="27"/>
  <c r="F15" i="27"/>
  <c r="I15" i="27"/>
  <c r="G15" i="27"/>
  <c r="A16" i="27"/>
  <c r="C19" i="28"/>
  <c r="D18" i="28"/>
  <c r="B18" i="28"/>
  <c r="BS23" i="7"/>
  <c r="BS24" i="7" s="1"/>
  <c r="CK24" i="7"/>
  <c r="CO24" i="7" s="1"/>
  <c r="AX25" i="7"/>
  <c r="BC25" i="7" s="1"/>
  <c r="BD25" i="7" s="1"/>
  <c r="M24" i="7"/>
  <c r="Q24" i="7" s="1"/>
  <c r="N24" i="7"/>
  <c r="N25" i="7" s="1"/>
  <c r="BD24" i="7"/>
  <c r="AQ27" i="7"/>
  <c r="AR27" i="7" s="1"/>
  <c r="AS27" i="7" s="1"/>
  <c r="AO27" i="7"/>
  <c r="AP28" i="7"/>
  <c r="CL22" i="7"/>
  <c r="CL23" i="7" s="1"/>
  <c r="CL24" i="7" s="1"/>
  <c r="AM25" i="7"/>
  <c r="AF25" i="7" s="1"/>
  <c r="AG21" i="7"/>
  <c r="AG22" i="7" s="1"/>
  <c r="AG23" i="7" s="1"/>
  <c r="P22" i="22"/>
  <c r="Q23" i="22"/>
  <c r="T26" i="7"/>
  <c r="L26" i="7" s="1"/>
  <c r="AZ24" i="7"/>
  <c r="BF26" i="7"/>
  <c r="AY26" i="7" s="1"/>
  <c r="BH26" i="7"/>
  <c r="BI27" i="7"/>
  <c r="BJ26" i="7"/>
  <c r="BK26" i="7" s="1"/>
  <c r="BL26" i="7" s="1"/>
  <c r="C27" i="7"/>
  <c r="E27" i="7"/>
  <c r="F27" i="7" s="1"/>
  <c r="G27" i="7" s="1"/>
  <c r="D28" i="7"/>
  <c r="M25" i="7"/>
  <c r="Q25" i="7" s="1"/>
  <c r="BW21" i="7"/>
  <c r="BW23" i="7"/>
  <c r="BW22" i="7"/>
  <c r="BY25" i="7"/>
  <c r="BQ25" i="7" s="1"/>
  <c r="BR24" i="7"/>
  <c r="BV24" i="7" s="1"/>
  <c r="CR25" i="7"/>
  <c r="CK25" i="7" s="1"/>
  <c r="W20" i="22"/>
  <c r="X20" i="22" s="1"/>
  <c r="CA26" i="7"/>
  <c r="CB27" i="7"/>
  <c r="CC26" i="7"/>
  <c r="CD26" i="7" s="1"/>
  <c r="CE26" i="7" s="1"/>
  <c r="CO22" i="7"/>
  <c r="V21" i="22"/>
  <c r="W27" i="7"/>
  <c r="V26" i="7"/>
  <c r="X26" i="7"/>
  <c r="Y26" i="7" s="1"/>
  <c r="Z26" i="7" s="1"/>
  <c r="AM24" i="7"/>
  <c r="AF24" i="7" s="1"/>
  <c r="AJ21" i="7"/>
  <c r="K16" i="27" l="1"/>
  <c r="F16" i="27"/>
  <c r="G16" i="27"/>
  <c r="I16" i="27"/>
  <c r="H16" i="27"/>
  <c r="D19" i="28"/>
  <c r="A17" i="27"/>
  <c r="B19" i="28"/>
  <c r="C20" i="28"/>
  <c r="AZ25" i="7"/>
  <c r="AE24" i="7"/>
  <c r="AJ24" i="7" s="1"/>
  <c r="CJ25" i="7"/>
  <c r="CO25" i="7" s="1"/>
  <c r="CP25" i="7" s="1"/>
  <c r="R25" i="7"/>
  <c r="AE25" i="7"/>
  <c r="AJ25" i="7" s="1"/>
  <c r="AX26" i="7"/>
  <c r="BC26" i="7" s="1"/>
  <c r="BD26" i="7" s="1"/>
  <c r="BR25" i="7"/>
  <c r="BV25" i="7" s="1"/>
  <c r="H3" i="7"/>
  <c r="O26" i="7"/>
  <c r="V22" i="22"/>
  <c r="AK22" i="7"/>
  <c r="AK23" i="7"/>
  <c r="AK21" i="7"/>
  <c r="BF27" i="7"/>
  <c r="AY27" i="7" s="1"/>
  <c r="W21" i="22"/>
  <c r="X21" i="22" s="1"/>
  <c r="CP24" i="7"/>
  <c r="CP22" i="7"/>
  <c r="E28" i="7"/>
  <c r="F28" i="7" s="1"/>
  <c r="G28" i="7" s="1"/>
  <c r="D29" i="7"/>
  <c r="C28" i="7"/>
  <c r="R24" i="7"/>
  <c r="T27" i="7"/>
  <c r="M27" i="7" s="1"/>
  <c r="CP23" i="7"/>
  <c r="Q24" i="22"/>
  <c r="P23" i="22"/>
  <c r="CR26" i="7"/>
  <c r="CJ26" i="7" s="1"/>
  <c r="AM26" i="7"/>
  <c r="AF26" i="7" s="1"/>
  <c r="CB28" i="7"/>
  <c r="CC27" i="7"/>
  <c r="CD27" i="7" s="1"/>
  <c r="CE27" i="7" s="1"/>
  <c r="CA27" i="7"/>
  <c r="M26" i="7"/>
  <c r="Q26" i="7" s="1"/>
  <c r="R26" i="7" s="1"/>
  <c r="AP29" i="7"/>
  <c r="AQ28" i="7"/>
  <c r="AR28" i="7" s="1"/>
  <c r="AS28" i="7" s="1"/>
  <c r="AO28" i="7"/>
  <c r="BY26" i="7"/>
  <c r="BR26" i="7" s="1"/>
  <c r="N26" i="7"/>
  <c r="BW24" i="7"/>
  <c r="W28" i="7"/>
  <c r="X27" i="7"/>
  <c r="Y27" i="7" s="1"/>
  <c r="Z27" i="7" s="1"/>
  <c r="V27" i="7"/>
  <c r="BS25" i="7"/>
  <c r="BI28" i="7"/>
  <c r="BJ27" i="7"/>
  <c r="BK27" i="7" s="1"/>
  <c r="BL27" i="7" s="1"/>
  <c r="BH27" i="7"/>
  <c r="K17" i="27" l="1"/>
  <c r="I17" i="27"/>
  <c r="G17" i="27"/>
  <c r="F17" i="27"/>
  <c r="H17" i="27"/>
  <c r="A18" i="27"/>
  <c r="D20" i="28"/>
  <c r="C21" i="28"/>
  <c r="B20" i="28"/>
  <c r="AG24" i="7"/>
  <c r="AG25" i="7" s="1"/>
  <c r="BQ26" i="7"/>
  <c r="BV26" i="7" s="1"/>
  <c r="BW26" i="7" s="1"/>
  <c r="AK25" i="7"/>
  <c r="CL25" i="7"/>
  <c r="CL26" i="7" s="1"/>
  <c r="AZ26" i="7"/>
  <c r="L27" i="7"/>
  <c r="Q27" i="7" s="1"/>
  <c r="R27" i="7" s="1"/>
  <c r="AK24" i="7"/>
  <c r="BA26" i="7"/>
  <c r="AT3" i="7"/>
  <c r="M16" i="26" s="1"/>
  <c r="CF3" i="7"/>
  <c r="M18" i="26" s="1"/>
  <c r="CM26" i="7"/>
  <c r="AP30" i="7"/>
  <c r="AQ29" i="7"/>
  <c r="AR29" i="7" s="1"/>
  <c r="AS29" i="7" s="1"/>
  <c r="AO29" i="7"/>
  <c r="CB29" i="7"/>
  <c r="CC28" i="7"/>
  <c r="CD28" i="7" s="1"/>
  <c r="CE28" i="7" s="1"/>
  <c r="CA28" i="7"/>
  <c r="P24" i="22"/>
  <c r="Q25" i="22"/>
  <c r="E29" i="7"/>
  <c r="F29" i="7" s="1"/>
  <c r="G29" i="7" s="1"/>
  <c r="C29" i="7"/>
  <c r="D30" i="7"/>
  <c r="AX27" i="7"/>
  <c r="T28" i="7"/>
  <c r="M28" i="7" s="1"/>
  <c r="AE26" i="7"/>
  <c r="BF28" i="7"/>
  <c r="AX28" i="7" s="1"/>
  <c r="BH28" i="7"/>
  <c r="BI29" i="7"/>
  <c r="BJ28" i="7"/>
  <c r="BK28" i="7" s="1"/>
  <c r="BL28" i="7" s="1"/>
  <c r="CK26" i="7"/>
  <c r="CO26" i="7" s="1"/>
  <c r="CP26" i="7" s="1"/>
  <c r="W22" i="22"/>
  <c r="X22" i="22" s="1"/>
  <c r="V23" i="22"/>
  <c r="AM27" i="7"/>
  <c r="AE27" i="7" s="1"/>
  <c r="BW25" i="7"/>
  <c r="CR27" i="7"/>
  <c r="CJ27" i="7" s="1"/>
  <c r="BY27" i="7"/>
  <c r="BQ27" i="7" s="1"/>
  <c r="W29" i="7"/>
  <c r="X28" i="7"/>
  <c r="Y28" i="7" s="1"/>
  <c r="Z28" i="7" s="1"/>
  <c r="V28" i="7"/>
  <c r="K18" i="27" l="1"/>
  <c r="F18" i="27"/>
  <c r="I18" i="27"/>
  <c r="H18" i="27"/>
  <c r="G18" i="27"/>
  <c r="C22" i="28"/>
  <c r="D21" i="28"/>
  <c r="B21" i="28"/>
  <c r="A19" i="27"/>
  <c r="AG26" i="7"/>
  <c r="AG27" i="7" s="1"/>
  <c r="BT26" i="7"/>
  <c r="BM3" i="7"/>
  <c r="M17" i="26" s="1"/>
  <c r="AY28" i="7"/>
  <c r="BC28" i="7" s="1"/>
  <c r="BS26" i="7"/>
  <c r="BS27" i="7" s="1"/>
  <c r="BR27" i="7"/>
  <c r="BV27" i="7" s="1"/>
  <c r="BW27" i="7" s="1"/>
  <c r="AZ27" i="7"/>
  <c r="AZ28" i="7" s="1"/>
  <c r="N27" i="7"/>
  <c r="BY28" i="7"/>
  <c r="BQ28" i="7" s="1"/>
  <c r="L28" i="7"/>
  <c r="V24" i="22"/>
  <c r="AP31" i="7"/>
  <c r="AQ30" i="7"/>
  <c r="AR30" i="7" s="1"/>
  <c r="AS30" i="7" s="1"/>
  <c r="AO30" i="7"/>
  <c r="D31" i="7"/>
  <c r="E30" i="7"/>
  <c r="F30" i="7" s="1"/>
  <c r="G30" i="7" s="1"/>
  <c r="C30" i="7"/>
  <c r="AM28" i="7"/>
  <c r="AF28" i="7" s="1"/>
  <c r="BJ29" i="7"/>
  <c r="BK29" i="7" s="1"/>
  <c r="BL29" i="7" s="1"/>
  <c r="BI30" i="7"/>
  <c r="BH29" i="7"/>
  <c r="P25" i="22"/>
  <c r="Q26" i="22"/>
  <c r="CK27" i="7"/>
  <c r="CO27" i="7" s="1"/>
  <c r="CP27" i="7" s="1"/>
  <c r="V29" i="7"/>
  <c r="X29" i="7"/>
  <c r="Y29" i="7" s="1"/>
  <c r="Z29" i="7" s="1"/>
  <c r="W30" i="7"/>
  <c r="CL27" i="7"/>
  <c r="BF29" i="7"/>
  <c r="AY29" i="7" s="1"/>
  <c r="AF27" i="7"/>
  <c r="AJ27" i="7" s="1"/>
  <c r="CR28" i="7"/>
  <c r="CK28" i="7" s="1"/>
  <c r="CB30" i="7"/>
  <c r="CC29" i="7"/>
  <c r="CD29" i="7" s="1"/>
  <c r="CE29" i="7" s="1"/>
  <c r="CA29" i="7"/>
  <c r="BC27" i="7"/>
  <c r="BD27" i="7" s="1"/>
  <c r="W23" i="22"/>
  <c r="X23" i="22" s="1"/>
  <c r="AA3" i="7"/>
  <c r="M15" i="26" s="1"/>
  <c r="AH26" i="7"/>
  <c r="T29" i="7"/>
  <c r="L29" i="7" s="1"/>
  <c r="AJ26" i="7"/>
  <c r="A20" i="27" l="1"/>
  <c r="B22" i="28"/>
  <c r="C23" i="28"/>
  <c r="D22" i="28"/>
  <c r="K19" i="27"/>
  <c r="I19" i="27"/>
  <c r="G19" i="27"/>
  <c r="F19" i="27"/>
  <c r="H19" i="27"/>
  <c r="N28" i="7"/>
  <c r="N29" i="7" s="1"/>
  <c r="M29" i="7"/>
  <c r="Q29" i="7" s="1"/>
  <c r="AE28" i="7"/>
  <c r="AJ28" i="7" s="1"/>
  <c r="AK28" i="7" s="1"/>
  <c r="BR28" i="7"/>
  <c r="BV28" i="7" s="1"/>
  <c r="BW28" i="7" s="1"/>
  <c r="CJ28" i="7"/>
  <c r="CO28" i="7" s="1"/>
  <c r="CP28" i="7" s="1"/>
  <c r="BF30" i="7"/>
  <c r="AX30" i="7" s="1"/>
  <c r="AP32" i="7"/>
  <c r="AQ31" i="7"/>
  <c r="AR31" i="7" s="1"/>
  <c r="AS31" i="7" s="1"/>
  <c r="AO31" i="7"/>
  <c r="BS28" i="7"/>
  <c r="BY29" i="7"/>
  <c r="BR29" i="7" s="1"/>
  <c r="CR29" i="7"/>
  <c r="CK29" i="7" s="1"/>
  <c r="Q27" i="22"/>
  <c r="P26" i="22"/>
  <c r="W24" i="22"/>
  <c r="X24" i="22" s="1"/>
  <c r="CA30" i="7"/>
  <c r="CB31" i="7"/>
  <c r="CC30" i="7"/>
  <c r="CD30" i="7" s="1"/>
  <c r="CE30" i="7" s="1"/>
  <c r="AX29" i="7"/>
  <c r="AZ29" i="7" s="1"/>
  <c r="V25" i="22"/>
  <c r="BD28" i="7"/>
  <c r="AK26" i="7"/>
  <c r="AK27" i="7"/>
  <c r="T30" i="7"/>
  <c r="L30" i="7" s="1"/>
  <c r="Q28" i="7"/>
  <c r="R28" i="7" s="1"/>
  <c r="V30" i="7"/>
  <c r="W31" i="7"/>
  <c r="X30" i="7"/>
  <c r="Y30" i="7" s="1"/>
  <c r="Z30" i="7" s="1"/>
  <c r="D32" i="7"/>
  <c r="E31" i="7"/>
  <c r="F31" i="7" s="1"/>
  <c r="G31" i="7" s="1"/>
  <c r="C31" i="7"/>
  <c r="AM29" i="7"/>
  <c r="AE29" i="7" s="1"/>
  <c r="BJ30" i="7"/>
  <c r="BK30" i="7" s="1"/>
  <c r="BL30" i="7" s="1"/>
  <c r="BH30" i="7"/>
  <c r="BI31" i="7"/>
  <c r="A21" i="27" l="1"/>
  <c r="C24" i="28"/>
  <c r="D23" i="28"/>
  <c r="B23" i="28"/>
  <c r="K20" i="27"/>
  <c r="G20" i="27"/>
  <c r="F20" i="27"/>
  <c r="H20" i="27"/>
  <c r="I20" i="27"/>
  <c r="AG28" i="7"/>
  <c r="AG29" i="7" s="1"/>
  <c r="M30" i="7"/>
  <c r="Q30" i="7" s="1"/>
  <c r="R30" i="7" s="1"/>
  <c r="AF29" i="7"/>
  <c r="AJ29" i="7" s="1"/>
  <c r="AK29" i="7" s="1"/>
  <c r="CL28" i="7"/>
  <c r="R29" i="7"/>
  <c r="W25" i="22"/>
  <c r="X25" i="22" s="1"/>
  <c r="AY30" i="7"/>
  <c r="BC30" i="7" s="1"/>
  <c r="C32" i="7"/>
  <c r="D33" i="7"/>
  <c r="E32" i="7"/>
  <c r="F32" i="7" s="1"/>
  <c r="G32" i="7" s="1"/>
  <c r="V26" i="22"/>
  <c r="BQ29" i="7"/>
  <c r="BS29" i="7" s="1"/>
  <c r="AM30" i="7"/>
  <c r="AF30" i="7" s="1"/>
  <c r="CR30" i="7"/>
  <c r="CJ30" i="7" s="1"/>
  <c r="Q28" i="22"/>
  <c r="P27" i="22"/>
  <c r="T31" i="7"/>
  <c r="M31" i="7" s="1"/>
  <c r="BY30" i="7"/>
  <c r="BR30" i="7" s="1"/>
  <c r="CA31" i="7"/>
  <c r="CC31" i="7"/>
  <c r="CD31" i="7" s="1"/>
  <c r="CE31" i="7" s="1"/>
  <c r="CB32" i="7"/>
  <c r="BC29" i="7"/>
  <c r="BD29" i="7" s="1"/>
  <c r="BI32" i="7"/>
  <c r="BJ31" i="7"/>
  <c r="BK31" i="7" s="1"/>
  <c r="BL31" i="7" s="1"/>
  <c r="BH31" i="7"/>
  <c r="W32" i="7"/>
  <c r="X31" i="7"/>
  <c r="Y31" i="7" s="1"/>
  <c r="Z31" i="7" s="1"/>
  <c r="V31" i="7"/>
  <c r="AZ30" i="7"/>
  <c r="N30" i="7"/>
  <c r="CJ29" i="7"/>
  <c r="BF31" i="7"/>
  <c r="AX31" i="7" s="1"/>
  <c r="AQ32" i="7"/>
  <c r="AR32" i="7" s="1"/>
  <c r="AS32" i="7" s="1"/>
  <c r="AO32" i="7"/>
  <c r="AP33" i="7"/>
  <c r="A22" i="27" l="1"/>
  <c r="D24" i="28"/>
  <c r="B24" i="28"/>
  <c r="C25" i="28"/>
  <c r="K21" i="27"/>
  <c r="I21" i="27"/>
  <c r="F21" i="27"/>
  <c r="G21" i="27"/>
  <c r="H21" i="27"/>
  <c r="AY31" i="7"/>
  <c r="BC31" i="7" s="1"/>
  <c r="BD31" i="7" s="1"/>
  <c r="CK30" i="7"/>
  <c r="CO30" i="7" s="1"/>
  <c r="BQ30" i="7"/>
  <c r="BV30" i="7" s="1"/>
  <c r="BJ32" i="7"/>
  <c r="BK32" i="7" s="1"/>
  <c r="BL32" i="7" s="1"/>
  <c r="BI33" i="7"/>
  <c r="BH32" i="7"/>
  <c r="W26" i="22"/>
  <c r="X26" i="22" s="1"/>
  <c r="AQ33" i="7"/>
  <c r="AR33" i="7" s="1"/>
  <c r="AS33" i="7" s="1"/>
  <c r="AP34" i="7"/>
  <c r="AO33" i="7"/>
  <c r="AZ31" i="7"/>
  <c r="L31" i="7"/>
  <c r="Q31" i="7" s="1"/>
  <c r="R31" i="7" s="1"/>
  <c r="BF32" i="7"/>
  <c r="AX32" i="7" s="1"/>
  <c r="CB33" i="7"/>
  <c r="CC32" i="7"/>
  <c r="CD32" i="7" s="1"/>
  <c r="CE32" i="7" s="1"/>
  <c r="CA32" i="7"/>
  <c r="CL29" i="7"/>
  <c r="CL30" i="7" s="1"/>
  <c r="T32" i="7"/>
  <c r="L32" i="7" s="1"/>
  <c r="CR31" i="7"/>
  <c r="CK31" i="7" s="1"/>
  <c r="V27" i="22"/>
  <c r="AE30" i="7"/>
  <c r="AJ30" i="7" s="1"/>
  <c r="AK30" i="7" s="1"/>
  <c r="D34" i="7"/>
  <c r="C33" i="7"/>
  <c r="E33" i="7"/>
  <c r="F33" i="7" s="1"/>
  <c r="G33" i="7" s="1"/>
  <c r="AM31" i="7"/>
  <c r="AE31" i="7" s="1"/>
  <c r="V32" i="7"/>
  <c r="W33" i="7"/>
  <c r="X32" i="7"/>
  <c r="Y32" i="7" s="1"/>
  <c r="Z32" i="7" s="1"/>
  <c r="CO29" i="7"/>
  <c r="CP29" i="7" s="1"/>
  <c r="Q29" i="22"/>
  <c r="P28" i="22"/>
  <c r="BD30" i="7"/>
  <c r="BY31" i="7"/>
  <c r="BR31" i="7" s="1"/>
  <c r="BV29" i="7"/>
  <c r="BW29" i="7" s="1"/>
  <c r="B25" i="28" l="1"/>
  <c r="A23" i="27"/>
  <c r="C26" i="28"/>
  <c r="D25" i="28"/>
  <c r="F22" i="27"/>
  <c r="K22" i="27"/>
  <c r="G22" i="27"/>
  <c r="H22" i="27"/>
  <c r="I22" i="27"/>
  <c r="BS30" i="7"/>
  <c r="CJ31" i="7"/>
  <c r="CO31" i="7" s="1"/>
  <c r="CP31" i="7" s="1"/>
  <c r="AF31" i="7"/>
  <c r="AJ31" i="7" s="1"/>
  <c r="AK31" i="7" s="1"/>
  <c r="M32" i="7"/>
  <c r="Q32" i="7" s="1"/>
  <c r="R32" i="7" s="1"/>
  <c r="AY32" i="7"/>
  <c r="BC32" i="7" s="1"/>
  <c r="BD32" i="7" s="1"/>
  <c r="BQ31" i="7"/>
  <c r="P29" i="22"/>
  <c r="Q30" i="22"/>
  <c r="CP30" i="7"/>
  <c r="T33" i="7"/>
  <c r="M33" i="7" s="1"/>
  <c r="CR32" i="7"/>
  <c r="CJ32" i="7" s="1"/>
  <c r="AZ32" i="7"/>
  <c r="AM32" i="7"/>
  <c r="AE32" i="7" s="1"/>
  <c r="BW30" i="7"/>
  <c r="CA33" i="7"/>
  <c r="CB34" i="7"/>
  <c r="CC33" i="7"/>
  <c r="CD33" i="7" s="1"/>
  <c r="CE33" i="7" s="1"/>
  <c r="N31" i="7"/>
  <c r="N32" i="7" s="1"/>
  <c r="BH33" i="7"/>
  <c r="BI34" i="7"/>
  <c r="BJ33" i="7"/>
  <c r="BK33" i="7" s="1"/>
  <c r="BL33" i="7" s="1"/>
  <c r="W34" i="7"/>
  <c r="V33" i="7"/>
  <c r="X33" i="7"/>
  <c r="Y33" i="7" s="1"/>
  <c r="Z33" i="7" s="1"/>
  <c r="E34" i="7"/>
  <c r="F34" i="7" s="1"/>
  <c r="G34" i="7" s="1"/>
  <c r="D35" i="7"/>
  <c r="C34" i="7"/>
  <c r="AG30" i="7"/>
  <c r="AG31" i="7" s="1"/>
  <c r="BY32" i="7"/>
  <c r="BR32" i="7" s="1"/>
  <c r="AP35" i="7"/>
  <c r="AO34" i="7"/>
  <c r="AQ34" i="7"/>
  <c r="AR34" i="7" s="1"/>
  <c r="AS34" i="7" s="1"/>
  <c r="W27" i="22"/>
  <c r="X27" i="22" s="1"/>
  <c r="BF33" i="7"/>
  <c r="AY33" i="7" s="1"/>
  <c r="V28" i="22"/>
  <c r="A24" i="27" l="1"/>
  <c r="C27" i="28"/>
  <c r="D26" i="28"/>
  <c r="B26" i="28"/>
  <c r="K23" i="27"/>
  <c r="G23" i="27"/>
  <c r="I23" i="27"/>
  <c r="H23" i="27"/>
  <c r="F23" i="27"/>
  <c r="BS31" i="7"/>
  <c r="CK32" i="7"/>
  <c r="CO32" i="7" s="1"/>
  <c r="CP32" i="7" s="1"/>
  <c r="CL31" i="7"/>
  <c r="CL32" i="7" s="1"/>
  <c r="AF32" i="7"/>
  <c r="AJ32" i="7" s="1"/>
  <c r="AK32" i="7" s="1"/>
  <c r="AX33" i="7"/>
  <c r="BC33" i="7" s="1"/>
  <c r="BD33" i="7" s="1"/>
  <c r="BQ32" i="7"/>
  <c r="BV31" i="7"/>
  <c r="BW31" i="7" s="1"/>
  <c r="AG32" i="7"/>
  <c r="BI35" i="7"/>
  <c r="BJ34" i="7"/>
  <c r="BK34" i="7" s="1"/>
  <c r="BL34" i="7" s="1"/>
  <c r="BH34" i="7"/>
  <c r="BF34" i="7"/>
  <c r="AY34" i="7" s="1"/>
  <c r="E35" i="7"/>
  <c r="F35" i="7" s="1"/>
  <c r="G35" i="7" s="1"/>
  <c r="C35" i="7"/>
  <c r="D36" i="7"/>
  <c r="T34" i="7"/>
  <c r="M34" i="7" s="1"/>
  <c r="AO35" i="7"/>
  <c r="AQ35" i="7"/>
  <c r="AR35" i="7" s="1"/>
  <c r="AS35" i="7" s="1"/>
  <c r="AP36" i="7"/>
  <c r="AM33" i="7"/>
  <c r="AF33" i="7" s="1"/>
  <c r="CR33" i="7"/>
  <c r="CK33" i="7" s="1"/>
  <c r="P30" i="22"/>
  <c r="Q31" i="22"/>
  <c r="CB35" i="7"/>
  <c r="CA34" i="7"/>
  <c r="CC34" i="7"/>
  <c r="CD34" i="7" s="1"/>
  <c r="CE34" i="7" s="1"/>
  <c r="X34" i="7"/>
  <c r="Y34" i="7" s="1"/>
  <c r="Z34" i="7" s="1"/>
  <c r="V34" i="7"/>
  <c r="W35" i="7"/>
  <c r="L33" i="7"/>
  <c r="Q33" i="7" s="1"/>
  <c r="R33" i="7" s="1"/>
  <c r="W28" i="22"/>
  <c r="X28" i="22" s="1"/>
  <c r="BY33" i="7"/>
  <c r="BQ33" i="7" s="1"/>
  <c r="V29" i="22"/>
  <c r="D27" i="28" l="1"/>
  <c r="A25" i="27"/>
  <c r="B27" i="28"/>
  <c r="C28" i="28"/>
  <c r="K24" i="27"/>
  <c r="I24" i="27"/>
  <c r="H24" i="27"/>
  <c r="G24" i="27"/>
  <c r="F24" i="27"/>
  <c r="BS32" i="7"/>
  <c r="BS33" i="7" s="1"/>
  <c r="AZ33" i="7"/>
  <c r="BR33" i="7"/>
  <c r="BV33" i="7" s="1"/>
  <c r="AE33" i="7"/>
  <c r="AG33" i="7" s="1"/>
  <c r="BV32" i="7"/>
  <c r="BW32" i="7" s="1"/>
  <c r="CJ33" i="7"/>
  <c r="CO33" i="7" s="1"/>
  <c r="CP33" i="7" s="1"/>
  <c r="N33" i="7"/>
  <c r="AX34" i="7"/>
  <c r="BC34" i="7" s="1"/>
  <c r="BD34" i="7" s="1"/>
  <c r="V35" i="7"/>
  <c r="W36" i="7"/>
  <c r="X35" i="7"/>
  <c r="Y35" i="7" s="1"/>
  <c r="Z35" i="7" s="1"/>
  <c r="V30" i="22"/>
  <c r="L34" i="7"/>
  <c r="Q34" i="7" s="1"/>
  <c r="R34" i="7" s="1"/>
  <c r="T35" i="7"/>
  <c r="M35" i="7" s="1"/>
  <c r="AM34" i="7"/>
  <c r="AE34" i="7" s="1"/>
  <c r="AP37" i="7"/>
  <c r="AQ36" i="7"/>
  <c r="AR36" i="7" s="1"/>
  <c r="AS36" i="7" s="1"/>
  <c r="AO36" i="7"/>
  <c r="Q32" i="22"/>
  <c r="P31" i="22"/>
  <c r="CR34" i="7"/>
  <c r="CJ34" i="7" s="1"/>
  <c r="BF35" i="7"/>
  <c r="AX35" i="7" s="1"/>
  <c r="BY34" i="7"/>
  <c r="BR34" i="7" s="1"/>
  <c r="D37" i="7"/>
  <c r="E36" i="7"/>
  <c r="F36" i="7" s="1"/>
  <c r="G36" i="7" s="1"/>
  <c r="C36" i="7"/>
  <c r="BJ35" i="7"/>
  <c r="BK35" i="7" s="1"/>
  <c r="BL35" i="7" s="1"/>
  <c r="BI36" i="7"/>
  <c r="BH35" i="7"/>
  <c r="W29" i="22"/>
  <c r="X29" i="22" s="1"/>
  <c r="CC35" i="7"/>
  <c r="CD35" i="7" s="1"/>
  <c r="CE35" i="7" s="1"/>
  <c r="CA35" i="7"/>
  <c r="CB36" i="7"/>
  <c r="A26" i="27" l="1"/>
  <c r="D28" i="28"/>
  <c r="C29" i="28"/>
  <c r="B28" i="28"/>
  <c r="K25" i="27"/>
  <c r="I25" i="27"/>
  <c r="F25" i="27"/>
  <c r="H25" i="27"/>
  <c r="G25" i="27"/>
  <c r="CK34" i="7"/>
  <c r="CO34" i="7" s="1"/>
  <c r="CP34" i="7" s="1"/>
  <c r="BW33" i="7"/>
  <c r="CL33" i="7"/>
  <c r="CL34" i="7" s="1"/>
  <c r="AG34" i="7"/>
  <c r="BQ34" i="7"/>
  <c r="BV34" i="7" s="1"/>
  <c r="BW34" i="7" s="1"/>
  <c r="AJ33" i="7"/>
  <c r="AK33" i="7" s="1"/>
  <c r="AZ34" i="7"/>
  <c r="AZ35" i="7" s="1"/>
  <c r="L35" i="7"/>
  <c r="Q35" i="7" s="1"/>
  <c r="R35" i="7" s="1"/>
  <c r="AF34" i="7"/>
  <c r="AJ34" i="7" s="1"/>
  <c r="AY35" i="7"/>
  <c r="BC35" i="7" s="1"/>
  <c r="BD35" i="7" s="1"/>
  <c r="CA36" i="7"/>
  <c r="CC36" i="7"/>
  <c r="CD36" i="7" s="1"/>
  <c r="CE36" i="7" s="1"/>
  <c r="CB37" i="7"/>
  <c r="AM35" i="7"/>
  <c r="AF35" i="7" s="1"/>
  <c r="W37" i="7"/>
  <c r="X36" i="7"/>
  <c r="Y36" i="7" s="1"/>
  <c r="Z36" i="7" s="1"/>
  <c r="V36" i="7"/>
  <c r="Q33" i="22"/>
  <c r="P32" i="22"/>
  <c r="BY35" i="7"/>
  <c r="BR35" i="7" s="1"/>
  <c r="BF36" i="7"/>
  <c r="AY36" i="7" s="1"/>
  <c r="N34" i="7"/>
  <c r="CR35" i="7"/>
  <c r="CK35" i="7" s="1"/>
  <c r="C37" i="7"/>
  <c r="D38" i="7"/>
  <c r="E37" i="7"/>
  <c r="F37" i="7" s="1"/>
  <c r="G37" i="7" s="1"/>
  <c r="AQ37" i="7"/>
  <c r="AR37" i="7" s="1"/>
  <c r="AS37" i="7" s="1"/>
  <c r="AO37" i="7"/>
  <c r="AP38" i="7"/>
  <c r="W30" i="22"/>
  <c r="X30" i="22" s="1"/>
  <c r="T36" i="7"/>
  <c r="M36" i="7" s="1"/>
  <c r="BI37" i="7"/>
  <c r="BJ36" i="7"/>
  <c r="BK36" i="7" s="1"/>
  <c r="BL36" i="7" s="1"/>
  <c r="BH36" i="7"/>
  <c r="V31" i="22"/>
  <c r="A27" i="27" l="1"/>
  <c r="C30" i="28"/>
  <c r="D29" i="28"/>
  <c r="B29" i="28"/>
  <c r="K26" i="27"/>
  <c r="F26" i="27"/>
  <c r="I26" i="27"/>
  <c r="H26" i="27"/>
  <c r="G26" i="27"/>
  <c r="AX36" i="7"/>
  <c r="AZ36" i="7" s="1"/>
  <c r="BS34" i="7"/>
  <c r="AK34" i="7"/>
  <c r="BQ35" i="7"/>
  <c r="BV35" i="7" s="1"/>
  <c r="BW35" i="7" s="1"/>
  <c r="N35" i="7"/>
  <c r="L36" i="7"/>
  <c r="Q36" i="7" s="1"/>
  <c r="R36" i="7" s="1"/>
  <c r="V32" i="22"/>
  <c r="AE35" i="7"/>
  <c r="AG35" i="7" s="1"/>
  <c r="T37" i="7"/>
  <c r="L37" i="7" s="1"/>
  <c r="X37" i="7"/>
  <c r="Y37" i="7" s="1"/>
  <c r="Z37" i="7" s="1"/>
  <c r="V37" i="7"/>
  <c r="W38" i="7"/>
  <c r="E38" i="7"/>
  <c r="F38" i="7" s="1"/>
  <c r="G38" i="7" s="1"/>
  <c r="C38" i="7"/>
  <c r="D39" i="7"/>
  <c r="Q34" i="22"/>
  <c r="P33" i="22"/>
  <c r="CC37" i="7"/>
  <c r="CD37" i="7" s="1"/>
  <c r="CE37" i="7" s="1"/>
  <c r="CB38" i="7"/>
  <c r="CA37" i="7"/>
  <c r="BI38" i="7"/>
  <c r="BJ37" i="7"/>
  <c r="BK37" i="7" s="1"/>
  <c r="BL37" i="7" s="1"/>
  <c r="BH37" i="7"/>
  <c r="CR36" i="7"/>
  <c r="CK36" i="7" s="1"/>
  <c r="BY36" i="7"/>
  <c r="BR36" i="7" s="1"/>
  <c r="AP39" i="7"/>
  <c r="AQ38" i="7"/>
  <c r="AR38" i="7" s="1"/>
  <c r="AS38" i="7" s="1"/>
  <c r="AO38" i="7"/>
  <c r="CJ35" i="7"/>
  <c r="CL35" i="7" s="1"/>
  <c r="W31" i="22"/>
  <c r="X31" i="22" s="1"/>
  <c r="BF37" i="7"/>
  <c r="AY37" i="7" s="1"/>
  <c r="AM36" i="7"/>
  <c r="AE36" i="7" s="1"/>
  <c r="K27" i="27" l="1"/>
  <c r="F27" i="27"/>
  <c r="H27" i="27"/>
  <c r="I27" i="27"/>
  <c r="G27" i="27"/>
  <c r="A28" i="27"/>
  <c r="B30" i="28"/>
  <c r="C31" i="28"/>
  <c r="D30" i="28"/>
  <c r="BS35" i="7"/>
  <c r="BC36" i="7"/>
  <c r="BD36" i="7" s="1"/>
  <c r="N36" i="7"/>
  <c r="N37" i="7" s="1"/>
  <c r="AX37" i="7"/>
  <c r="AZ37" i="7" s="1"/>
  <c r="BQ36" i="7"/>
  <c r="BV36" i="7" s="1"/>
  <c r="BW36" i="7" s="1"/>
  <c r="CJ36" i="7"/>
  <c r="CO36" i="7" s="1"/>
  <c r="M37" i="7"/>
  <c r="Q37" i="7" s="1"/>
  <c r="R37" i="7" s="1"/>
  <c r="BI39" i="7"/>
  <c r="BH38" i="7"/>
  <c r="BJ38" i="7"/>
  <c r="BK38" i="7" s="1"/>
  <c r="BL38" i="7" s="1"/>
  <c r="Q35" i="22"/>
  <c r="P34" i="22"/>
  <c r="C39" i="7"/>
  <c r="D40" i="7"/>
  <c r="E39" i="7"/>
  <c r="F39" i="7" s="1"/>
  <c r="G39" i="7" s="1"/>
  <c r="BY37" i="7"/>
  <c r="BQ37" i="7" s="1"/>
  <c r="AF36" i="7"/>
  <c r="AJ36" i="7" s="1"/>
  <c r="AG36" i="7"/>
  <c r="CB39" i="7"/>
  <c r="CC38" i="7"/>
  <c r="CD38" i="7" s="1"/>
  <c r="CE38" i="7" s="1"/>
  <c r="CA38" i="7"/>
  <c r="T38" i="7"/>
  <c r="M38" i="7" s="1"/>
  <c r="W32" i="22"/>
  <c r="X32" i="22" s="1"/>
  <c r="CR37" i="7"/>
  <c r="CK37" i="7" s="1"/>
  <c r="V38" i="7"/>
  <c r="W39" i="7"/>
  <c r="X38" i="7"/>
  <c r="Y38" i="7" s="1"/>
  <c r="Z38" i="7" s="1"/>
  <c r="BF38" i="7"/>
  <c r="AX38" i="7" s="1"/>
  <c r="V33" i="22"/>
  <c r="CO35" i="7"/>
  <c r="CP35" i="7" s="1"/>
  <c r="AO39" i="7"/>
  <c r="AQ39" i="7"/>
  <c r="AR39" i="7" s="1"/>
  <c r="AS39" i="7" s="1"/>
  <c r="AP40" i="7"/>
  <c r="AM37" i="7"/>
  <c r="AF37" i="7" s="1"/>
  <c r="AJ35" i="7"/>
  <c r="AK35" i="7" s="1"/>
  <c r="A29" i="27" l="1"/>
  <c r="C32" i="28"/>
  <c r="D31" i="28"/>
  <c r="B31" i="28"/>
  <c r="K28" i="27"/>
  <c r="F28" i="27"/>
  <c r="H28" i="27"/>
  <c r="G28" i="27"/>
  <c r="I28" i="27"/>
  <c r="AY38" i="7"/>
  <c r="BC38" i="7" s="1"/>
  <c r="CL36" i="7"/>
  <c r="AK36" i="7"/>
  <c r="BS36" i="7"/>
  <c r="BS37" i="7" s="1"/>
  <c r="BC37" i="7"/>
  <c r="BD37" i="7" s="1"/>
  <c r="CJ37" i="7"/>
  <c r="CO37" i="7" s="1"/>
  <c r="CP37" i="7" s="1"/>
  <c r="AE37" i="7"/>
  <c r="AJ37" i="7" s="1"/>
  <c r="AK37" i="7" s="1"/>
  <c r="CP36" i="7"/>
  <c r="Q36" i="22"/>
  <c r="P35" i="22"/>
  <c r="CR38" i="7"/>
  <c r="CJ38" i="7" s="1"/>
  <c r="BR37" i="7"/>
  <c r="BV37" i="7" s="1"/>
  <c r="BW37" i="7" s="1"/>
  <c r="BF39" i="7"/>
  <c r="AX39" i="7" s="1"/>
  <c r="CC39" i="7"/>
  <c r="CD39" i="7" s="1"/>
  <c r="CE39" i="7" s="1"/>
  <c r="CA39" i="7"/>
  <c r="CB40" i="7"/>
  <c r="AT4" i="7"/>
  <c r="N16" i="26" s="1"/>
  <c r="BA38" i="7"/>
  <c r="T39" i="7"/>
  <c r="L39" i="7" s="1"/>
  <c r="BY38" i="7"/>
  <c r="BQ38" i="7" s="1"/>
  <c r="V34" i="22"/>
  <c r="E40" i="7"/>
  <c r="F40" i="7" s="1"/>
  <c r="G40" i="7" s="1"/>
  <c r="C40" i="7"/>
  <c r="D41" i="7"/>
  <c r="AP41" i="7"/>
  <c r="AQ40" i="7"/>
  <c r="AR40" i="7" s="1"/>
  <c r="AS40" i="7" s="1"/>
  <c r="AO40" i="7"/>
  <c r="W40" i="7"/>
  <c r="X39" i="7"/>
  <c r="Y39" i="7" s="1"/>
  <c r="Z39" i="7" s="1"/>
  <c r="V39" i="7"/>
  <c r="L38" i="7"/>
  <c r="BH39" i="7"/>
  <c r="BI40" i="7"/>
  <c r="BJ39" i="7"/>
  <c r="BK39" i="7" s="1"/>
  <c r="BL39" i="7" s="1"/>
  <c r="AM38" i="7"/>
  <c r="AE38" i="7" s="1"/>
  <c r="W33" i="22"/>
  <c r="X33" i="22" s="1"/>
  <c r="AZ38" i="7"/>
  <c r="A30" i="27" l="1"/>
  <c r="D32" i="28"/>
  <c r="B32" i="28"/>
  <c r="C33" i="28"/>
  <c r="K29" i="27"/>
  <c r="H29" i="27"/>
  <c r="G29" i="27"/>
  <c r="I29" i="27"/>
  <c r="F29" i="27"/>
  <c r="BD38" i="7"/>
  <c r="AG37" i="7"/>
  <c r="AG38" i="7" s="1"/>
  <c r="CL37" i="7"/>
  <c r="CL38" i="7" s="1"/>
  <c r="BR38" i="7"/>
  <c r="BV38" i="7" s="1"/>
  <c r="BW38" i="7" s="1"/>
  <c r="AF38" i="7"/>
  <c r="AJ38" i="7" s="1"/>
  <c r="AK38" i="7" s="1"/>
  <c r="AY39" i="7"/>
  <c r="BC39" i="7" s="1"/>
  <c r="BD39" i="7" s="1"/>
  <c r="CK38" i="7"/>
  <c r="CO38" i="7" s="1"/>
  <c r="CP38" i="7" s="1"/>
  <c r="CF4" i="7"/>
  <c r="N18" i="26" s="1"/>
  <c r="CM38" i="7"/>
  <c r="BM4" i="7"/>
  <c r="N17" i="26" s="1"/>
  <c r="BT38" i="7"/>
  <c r="AA4" i="7"/>
  <c r="N15" i="26" s="1"/>
  <c r="AH38" i="7"/>
  <c r="AM39" i="7"/>
  <c r="AF39" i="7" s="1"/>
  <c r="CR39" i="7"/>
  <c r="CK39" i="7" s="1"/>
  <c r="V35" i="22"/>
  <c r="CB41" i="7"/>
  <c r="CC40" i="7"/>
  <c r="CD40" i="7" s="1"/>
  <c r="CE40" i="7" s="1"/>
  <c r="CA40" i="7"/>
  <c r="W41" i="7"/>
  <c r="X40" i="7"/>
  <c r="Y40" i="7" s="1"/>
  <c r="Z40" i="7" s="1"/>
  <c r="V40" i="7"/>
  <c r="T40" i="7"/>
  <c r="M40" i="7" s="1"/>
  <c r="M39" i="7"/>
  <c r="Q39" i="7" s="1"/>
  <c r="BY39" i="7"/>
  <c r="BQ39" i="7" s="1"/>
  <c r="BS38" i="7"/>
  <c r="Q37" i="22"/>
  <c r="P36" i="22"/>
  <c r="C41" i="7"/>
  <c r="E41" i="7"/>
  <c r="F41" i="7" s="1"/>
  <c r="G41" i="7" s="1"/>
  <c r="D42" i="7"/>
  <c r="BH40" i="7"/>
  <c r="BJ40" i="7"/>
  <c r="BK40" i="7" s="1"/>
  <c r="BL40" i="7" s="1"/>
  <c r="BI41" i="7"/>
  <c r="BF40" i="7"/>
  <c r="AX40" i="7" s="1"/>
  <c r="W34" i="22"/>
  <c r="X34" i="22" s="1"/>
  <c r="H4" i="7"/>
  <c r="O38" i="7"/>
  <c r="AZ39" i="7"/>
  <c r="N38" i="7"/>
  <c r="N39" i="7" s="1"/>
  <c r="AQ41" i="7"/>
  <c r="AR41" i="7" s="1"/>
  <c r="AS41" i="7" s="1"/>
  <c r="AO41" i="7"/>
  <c r="AP42" i="7"/>
  <c r="Q38" i="7"/>
  <c r="R38" i="7" s="1"/>
  <c r="A31" i="27" l="1"/>
  <c r="B33" i="28"/>
  <c r="C34" i="28"/>
  <c r="D33" i="28"/>
  <c r="K30" i="27"/>
  <c r="G30" i="27"/>
  <c r="H30" i="27"/>
  <c r="I30" i="27"/>
  <c r="F30" i="27"/>
  <c r="AE39" i="7"/>
  <c r="AG39" i="7" s="1"/>
  <c r="BR39" i="7"/>
  <c r="BV39" i="7" s="1"/>
  <c r="BW39" i="7" s="1"/>
  <c r="L40" i="7"/>
  <c r="Q40" i="7" s="1"/>
  <c r="R40" i="7" s="1"/>
  <c r="CJ39" i="7"/>
  <c r="CO39" i="7" s="1"/>
  <c r="CP39" i="7" s="1"/>
  <c r="AY40" i="7"/>
  <c r="BC40" i="7" s="1"/>
  <c r="BD40" i="7" s="1"/>
  <c r="AM40" i="7"/>
  <c r="AE40" i="7" s="1"/>
  <c r="BJ41" i="7"/>
  <c r="BK41" i="7" s="1"/>
  <c r="BL41" i="7" s="1"/>
  <c r="BH41" i="7"/>
  <c r="BI42" i="7"/>
  <c r="V41" i="7"/>
  <c r="W42" i="7"/>
  <c r="X41" i="7"/>
  <c r="Y41" i="7" s="1"/>
  <c r="Z41" i="7" s="1"/>
  <c r="BY40" i="7"/>
  <c r="BR40" i="7" s="1"/>
  <c r="Q38" i="22"/>
  <c r="P37" i="22"/>
  <c r="V36" i="22"/>
  <c r="R39" i="7"/>
  <c r="CR40" i="7"/>
  <c r="CJ40" i="7" s="1"/>
  <c r="AP43" i="7"/>
  <c r="AQ42" i="7"/>
  <c r="AR42" i="7" s="1"/>
  <c r="AS42" i="7" s="1"/>
  <c r="AO42" i="7"/>
  <c r="D43" i="7"/>
  <c r="E42" i="7"/>
  <c r="F42" i="7" s="1"/>
  <c r="G42" i="7" s="1"/>
  <c r="C42" i="7"/>
  <c r="CB42" i="7"/>
  <c r="CC41" i="7"/>
  <c r="CD41" i="7" s="1"/>
  <c r="CE41" i="7" s="1"/>
  <c r="CA41" i="7"/>
  <c r="AZ40" i="7"/>
  <c r="T41" i="7"/>
  <c r="M41" i="7" s="1"/>
  <c r="BF41" i="7"/>
  <c r="AX41" i="7" s="1"/>
  <c r="BS39" i="7"/>
  <c r="W35" i="22"/>
  <c r="X35" i="22" s="1"/>
  <c r="A32" i="27" l="1"/>
  <c r="C35" i="28"/>
  <c r="D34" i="28"/>
  <c r="B34" i="28"/>
  <c r="K31" i="27"/>
  <c r="H31" i="27"/>
  <c r="I31" i="27"/>
  <c r="G31" i="27"/>
  <c r="F31" i="27"/>
  <c r="N40" i="7"/>
  <c r="CK40" i="7"/>
  <c r="CO40" i="7" s="1"/>
  <c r="CP40" i="7" s="1"/>
  <c r="AJ39" i="7"/>
  <c r="AK39" i="7" s="1"/>
  <c r="CL39" i="7"/>
  <c r="CL40" i="7" s="1"/>
  <c r="AY41" i="7"/>
  <c r="BC41" i="7" s="1"/>
  <c r="BD41" i="7" s="1"/>
  <c r="L41" i="7"/>
  <c r="Q41" i="7" s="1"/>
  <c r="R41" i="7" s="1"/>
  <c r="AG40" i="7"/>
  <c r="W36" i="22"/>
  <c r="X36" i="22" s="1"/>
  <c r="AP44" i="7"/>
  <c r="AQ43" i="7"/>
  <c r="AR43" i="7" s="1"/>
  <c r="AS43" i="7" s="1"/>
  <c r="AO43" i="7"/>
  <c r="BY41" i="7"/>
  <c r="BR41" i="7" s="1"/>
  <c r="CR41" i="7"/>
  <c r="CJ41" i="7" s="1"/>
  <c r="V37" i="22"/>
  <c r="AF40" i="7"/>
  <c r="AJ40" i="7" s="1"/>
  <c r="BF42" i="7"/>
  <c r="AY42" i="7" s="1"/>
  <c r="Q39" i="22"/>
  <c r="P38" i="22"/>
  <c r="AM41" i="7"/>
  <c r="AE41" i="7" s="1"/>
  <c r="CA42" i="7"/>
  <c r="CB43" i="7"/>
  <c r="CC42" i="7"/>
  <c r="CD42" i="7" s="1"/>
  <c r="CE42" i="7" s="1"/>
  <c r="W43" i="7"/>
  <c r="X42" i="7"/>
  <c r="Y42" i="7" s="1"/>
  <c r="Z42" i="7" s="1"/>
  <c r="V42" i="7"/>
  <c r="T42" i="7"/>
  <c r="L42" i="7" s="1"/>
  <c r="E43" i="7"/>
  <c r="F43" i="7" s="1"/>
  <c r="G43" i="7" s="1"/>
  <c r="C43" i="7"/>
  <c r="D44" i="7"/>
  <c r="BQ40" i="7"/>
  <c r="BV40" i="7" s="1"/>
  <c r="BW40" i="7" s="1"/>
  <c r="AZ41" i="7"/>
  <c r="BH42" i="7"/>
  <c r="BJ42" i="7"/>
  <c r="BK42" i="7" s="1"/>
  <c r="BL42" i="7" s="1"/>
  <c r="BI43" i="7"/>
  <c r="A33" i="27" l="1"/>
  <c r="D35" i="28"/>
  <c r="B35" i="28"/>
  <c r="C36" i="28"/>
  <c r="K32" i="27"/>
  <c r="G32" i="27"/>
  <c r="F32" i="27"/>
  <c r="I32" i="27"/>
  <c r="H32" i="27"/>
  <c r="AK40" i="7"/>
  <c r="N41" i="7"/>
  <c r="N42" i="7" s="1"/>
  <c r="CK41" i="7"/>
  <c r="CO41" i="7" s="1"/>
  <c r="CP41" i="7" s="1"/>
  <c r="AX42" i="7"/>
  <c r="BC42" i="7" s="1"/>
  <c r="BD42" i="7" s="1"/>
  <c r="CL41" i="7"/>
  <c r="AO44" i="7"/>
  <c r="AQ44" i="7"/>
  <c r="AR44" i="7" s="1"/>
  <c r="AS44" i="7" s="1"/>
  <c r="AP45" i="7"/>
  <c r="D45" i="7"/>
  <c r="E44" i="7"/>
  <c r="F44" i="7" s="1"/>
  <c r="G44" i="7" s="1"/>
  <c r="C44" i="7"/>
  <c r="M42" i="7"/>
  <c r="Q42" i="7" s="1"/>
  <c r="R42" i="7" s="1"/>
  <c r="AF41" i="7"/>
  <c r="AJ41" i="7" s="1"/>
  <c r="AK41" i="7" s="1"/>
  <c r="AM42" i="7"/>
  <c r="AE42" i="7" s="1"/>
  <c r="T43" i="7"/>
  <c r="M43" i="7" s="1"/>
  <c r="BY42" i="7"/>
  <c r="BQ42" i="7" s="1"/>
  <c r="BS40" i="7"/>
  <c r="X43" i="7"/>
  <c r="Y43" i="7" s="1"/>
  <c r="Z43" i="7" s="1"/>
  <c r="V43" i="7"/>
  <c r="W44" i="7"/>
  <c r="V38" i="22"/>
  <c r="BQ41" i="7"/>
  <c r="BV41" i="7" s="1"/>
  <c r="BW41" i="7" s="1"/>
  <c r="CR42" i="7"/>
  <c r="CJ42" i="7" s="1"/>
  <c r="W37" i="22"/>
  <c r="X37" i="22" s="1"/>
  <c r="AG41" i="7"/>
  <c r="BI44" i="7"/>
  <c r="BJ43" i="7"/>
  <c r="BK43" i="7" s="1"/>
  <c r="BL43" i="7" s="1"/>
  <c r="BH43" i="7"/>
  <c r="CB44" i="7"/>
  <c r="CA43" i="7"/>
  <c r="CC43" i="7"/>
  <c r="CD43" i="7" s="1"/>
  <c r="CE43" i="7" s="1"/>
  <c r="Q40" i="22"/>
  <c r="P39" i="22"/>
  <c r="BF43" i="7"/>
  <c r="AX43" i="7" s="1"/>
  <c r="A34" i="27" l="1"/>
  <c r="C37" i="28"/>
  <c r="D36" i="28"/>
  <c r="B36" i="28"/>
  <c r="K33" i="27"/>
  <c r="I33" i="27"/>
  <c r="G33" i="27"/>
  <c r="H33" i="27"/>
  <c r="F33" i="27"/>
  <c r="AZ42" i="7"/>
  <c r="AZ43" i="7" s="1"/>
  <c r="AF42" i="7"/>
  <c r="AJ42" i="7" s="1"/>
  <c r="AK42" i="7" s="1"/>
  <c r="AP46" i="7"/>
  <c r="AQ45" i="7"/>
  <c r="AR45" i="7" s="1"/>
  <c r="AS45" i="7" s="1"/>
  <c r="AO45" i="7"/>
  <c r="CR43" i="7"/>
  <c r="CJ43" i="7" s="1"/>
  <c r="AG42" i="7"/>
  <c r="W38" i="22"/>
  <c r="X38" i="22" s="1"/>
  <c r="BR42" i="7"/>
  <c r="BV42" i="7" s="1"/>
  <c r="BW42" i="7" s="1"/>
  <c r="BJ44" i="7"/>
  <c r="BK44" i="7" s="1"/>
  <c r="BL44" i="7" s="1"/>
  <c r="BH44" i="7"/>
  <c r="BI45" i="7"/>
  <c r="BF44" i="7"/>
  <c r="AX44" i="7" s="1"/>
  <c r="CC44" i="7"/>
  <c r="CD44" i="7" s="1"/>
  <c r="CE44" i="7" s="1"/>
  <c r="CA44" i="7"/>
  <c r="CB45" i="7"/>
  <c r="V44" i="7"/>
  <c r="W45" i="7"/>
  <c r="X44" i="7"/>
  <c r="Y44" i="7" s="1"/>
  <c r="Z44" i="7" s="1"/>
  <c r="BY43" i="7"/>
  <c r="BR43" i="7" s="1"/>
  <c r="L43" i="7"/>
  <c r="Q43" i="7" s="1"/>
  <c r="R43" i="7" s="1"/>
  <c r="AY43" i="7"/>
  <c r="BC43" i="7" s="1"/>
  <c r="BD43" i="7" s="1"/>
  <c r="CK42" i="7"/>
  <c r="CO42" i="7" s="1"/>
  <c r="CP42" i="7" s="1"/>
  <c r="CL42" i="7"/>
  <c r="V39" i="22"/>
  <c r="AM43" i="7"/>
  <c r="AF43" i="7" s="1"/>
  <c r="T44" i="7"/>
  <c r="M44" i="7" s="1"/>
  <c r="Q41" i="22"/>
  <c r="P40" i="22"/>
  <c r="BS41" i="7"/>
  <c r="BS42" i="7" s="1"/>
  <c r="D46" i="7"/>
  <c r="E45" i="7"/>
  <c r="F45" i="7" s="1"/>
  <c r="G45" i="7" s="1"/>
  <c r="C45" i="7"/>
  <c r="A35" i="27" l="1"/>
  <c r="C38" i="28"/>
  <c r="D37" i="28"/>
  <c r="B37" i="28"/>
  <c r="K34" i="27"/>
  <c r="F34" i="27"/>
  <c r="G34" i="27"/>
  <c r="I34" i="27"/>
  <c r="H34" i="27"/>
  <c r="L44" i="7"/>
  <c r="Q44" i="7" s="1"/>
  <c r="R44" i="7" s="1"/>
  <c r="AY44" i="7"/>
  <c r="BC44" i="7" s="1"/>
  <c r="BD44" i="7" s="1"/>
  <c r="V40" i="22"/>
  <c r="AZ44" i="7"/>
  <c r="W46" i="7"/>
  <c r="X45" i="7"/>
  <c r="Y45" i="7" s="1"/>
  <c r="Z45" i="7" s="1"/>
  <c r="V45" i="7"/>
  <c r="BI46" i="7"/>
  <c r="BJ45" i="7"/>
  <c r="BK45" i="7" s="1"/>
  <c r="BL45" i="7" s="1"/>
  <c r="BH45" i="7"/>
  <c r="CK43" i="7"/>
  <c r="CO43" i="7" s="1"/>
  <c r="CP43" i="7" s="1"/>
  <c r="AE43" i="7"/>
  <c r="AJ43" i="7" s="1"/>
  <c r="AK43" i="7" s="1"/>
  <c r="CA45" i="7"/>
  <c r="CC45" i="7"/>
  <c r="CD45" i="7" s="1"/>
  <c r="CE45" i="7" s="1"/>
  <c r="CB46" i="7"/>
  <c r="BY44" i="7"/>
  <c r="BR44" i="7" s="1"/>
  <c r="BF45" i="7"/>
  <c r="AY45" i="7" s="1"/>
  <c r="N43" i="7"/>
  <c r="W39" i="22"/>
  <c r="X39" i="22" s="1"/>
  <c r="BQ43" i="7"/>
  <c r="BV43" i="7" s="1"/>
  <c r="BW43" i="7" s="1"/>
  <c r="CR44" i="7"/>
  <c r="CK44" i="7" s="1"/>
  <c r="AP47" i="7"/>
  <c r="AQ46" i="7"/>
  <c r="AR46" i="7" s="1"/>
  <c r="AS46" i="7" s="1"/>
  <c r="AO46" i="7"/>
  <c r="Q42" i="22"/>
  <c r="P41" i="22"/>
  <c r="T45" i="7"/>
  <c r="M45" i="7" s="1"/>
  <c r="C46" i="7"/>
  <c r="D47" i="7"/>
  <c r="E46" i="7"/>
  <c r="F46" i="7" s="1"/>
  <c r="G46" i="7" s="1"/>
  <c r="CL43" i="7"/>
  <c r="AM44" i="7"/>
  <c r="AF44" i="7" s="1"/>
  <c r="A36" i="27" l="1"/>
  <c r="B38" i="28"/>
  <c r="C39" i="28"/>
  <c r="D38" i="28"/>
  <c r="K35" i="27"/>
  <c r="G35" i="27"/>
  <c r="I35" i="27"/>
  <c r="F35" i="27"/>
  <c r="H35" i="27"/>
  <c r="N44" i="7"/>
  <c r="AG43" i="7"/>
  <c r="AE44" i="7"/>
  <c r="BQ44" i="7"/>
  <c r="BV44" i="7" s="1"/>
  <c r="BW44" i="7" s="1"/>
  <c r="L45" i="7"/>
  <c r="Q45" i="7" s="1"/>
  <c r="R45" i="7" s="1"/>
  <c r="CJ44" i="7"/>
  <c r="CO44" i="7" s="1"/>
  <c r="CP44" i="7" s="1"/>
  <c r="BS43" i="7"/>
  <c r="AM45" i="7"/>
  <c r="AF45" i="7" s="1"/>
  <c r="AQ47" i="7"/>
  <c r="AR47" i="7" s="1"/>
  <c r="AS47" i="7" s="1"/>
  <c r="AO47" i="7"/>
  <c r="AP48" i="7"/>
  <c r="AX45" i="7"/>
  <c r="BC45" i="7" s="1"/>
  <c r="BD45" i="7" s="1"/>
  <c r="W47" i="7"/>
  <c r="X46" i="7"/>
  <c r="Y46" i="7" s="1"/>
  <c r="Z46" i="7" s="1"/>
  <c r="V46" i="7"/>
  <c r="CR45" i="7"/>
  <c r="CK45" i="7" s="1"/>
  <c r="V41" i="22"/>
  <c r="BF46" i="7"/>
  <c r="AX46" i="7" s="1"/>
  <c r="W40" i="22"/>
  <c r="X40" i="22" s="1"/>
  <c r="T46" i="7"/>
  <c r="L46" i="7" s="1"/>
  <c r="D48" i="7"/>
  <c r="C47" i="7"/>
  <c r="E47" i="7"/>
  <c r="F47" i="7" s="1"/>
  <c r="G47" i="7" s="1"/>
  <c r="Q43" i="22"/>
  <c r="P42" i="22"/>
  <c r="BY45" i="7"/>
  <c r="BQ45" i="7" s="1"/>
  <c r="BJ46" i="7"/>
  <c r="BK46" i="7" s="1"/>
  <c r="BL46" i="7" s="1"/>
  <c r="BI47" i="7"/>
  <c r="BH46" i="7"/>
  <c r="CC46" i="7"/>
  <c r="CD46" i="7" s="1"/>
  <c r="CE46" i="7" s="1"/>
  <c r="CA46" i="7"/>
  <c r="CB47" i="7"/>
  <c r="A37" i="27" l="1"/>
  <c r="C40" i="28"/>
  <c r="D39" i="28"/>
  <c r="B39" i="28"/>
  <c r="K36" i="27"/>
  <c r="F36" i="27"/>
  <c r="I36" i="27"/>
  <c r="H36" i="27"/>
  <c r="G36" i="27"/>
  <c r="AG44" i="7"/>
  <c r="N45" i="7"/>
  <c r="N46" i="7" s="1"/>
  <c r="M46" i="7"/>
  <c r="Q46" i="7" s="1"/>
  <c r="R46" i="7" s="1"/>
  <c r="BS44" i="7"/>
  <c r="BS45" i="7" s="1"/>
  <c r="AJ44" i="7"/>
  <c r="AK44" i="7" s="1"/>
  <c r="CL44" i="7"/>
  <c r="AY46" i="7"/>
  <c r="BC46" i="7" s="1"/>
  <c r="BD46" i="7" s="1"/>
  <c r="AZ45" i="7"/>
  <c r="AZ46" i="7" s="1"/>
  <c r="BR45" i="7"/>
  <c r="BV45" i="7" s="1"/>
  <c r="BW45" i="7" s="1"/>
  <c r="CJ45" i="7"/>
  <c r="CO45" i="7" s="1"/>
  <c r="CP45" i="7" s="1"/>
  <c r="BF47" i="7"/>
  <c r="AX47" i="7" s="1"/>
  <c r="AE45" i="7"/>
  <c r="AJ45" i="7" s="1"/>
  <c r="AM46" i="7"/>
  <c r="AE46" i="7" s="1"/>
  <c r="T47" i="7"/>
  <c r="M47" i="7" s="1"/>
  <c r="CA47" i="7"/>
  <c r="CB48" i="7"/>
  <c r="CC47" i="7"/>
  <c r="CD47" i="7" s="1"/>
  <c r="CE47" i="7" s="1"/>
  <c r="V42" i="22"/>
  <c r="W41" i="22"/>
  <c r="X41" i="22" s="1"/>
  <c r="V47" i="7"/>
  <c r="W48" i="7"/>
  <c r="X47" i="7"/>
  <c r="Y47" i="7" s="1"/>
  <c r="Z47" i="7" s="1"/>
  <c r="D49" i="7"/>
  <c r="E48" i="7"/>
  <c r="F48" i="7" s="1"/>
  <c r="G48" i="7" s="1"/>
  <c r="C48" i="7"/>
  <c r="CR46" i="7"/>
  <c r="CJ46" i="7" s="1"/>
  <c r="AO48" i="7"/>
  <c r="AP49" i="7"/>
  <c r="AQ48" i="7"/>
  <c r="AR48" i="7" s="1"/>
  <c r="AS48" i="7" s="1"/>
  <c r="BY46" i="7"/>
  <c r="BQ46" i="7" s="1"/>
  <c r="BJ47" i="7"/>
  <c r="BK47" i="7" s="1"/>
  <c r="BL47" i="7" s="1"/>
  <c r="BI48" i="7"/>
  <c r="BH47" i="7"/>
  <c r="Q44" i="22"/>
  <c r="P43" i="22"/>
  <c r="A38" i="27" l="1"/>
  <c r="D40" i="28"/>
  <c r="B40" i="28"/>
  <c r="C41" i="28"/>
  <c r="I37" i="27"/>
  <c r="K37" i="27"/>
  <c r="G37" i="27"/>
  <c r="F37" i="27"/>
  <c r="H37" i="27"/>
  <c r="AK45" i="7"/>
  <c r="CK46" i="7"/>
  <c r="CO46" i="7" s="1"/>
  <c r="CP46" i="7" s="1"/>
  <c r="L47" i="7"/>
  <c r="Q47" i="7" s="1"/>
  <c r="R47" i="7" s="1"/>
  <c r="CL45" i="7"/>
  <c r="CL46" i="7" s="1"/>
  <c r="AF46" i="7"/>
  <c r="AJ46" i="7" s="1"/>
  <c r="AK46" i="7" s="1"/>
  <c r="AM47" i="7"/>
  <c r="AE47" i="7" s="1"/>
  <c r="CA48" i="7"/>
  <c r="CB49" i="7"/>
  <c r="CC48" i="7"/>
  <c r="CD48" i="7" s="1"/>
  <c r="CE48" i="7" s="1"/>
  <c r="CR47" i="7"/>
  <c r="CK47" i="7" s="1"/>
  <c r="X48" i="7"/>
  <c r="Y48" i="7" s="1"/>
  <c r="Z48" i="7" s="1"/>
  <c r="V48" i="7"/>
  <c r="W49" i="7"/>
  <c r="BS46" i="7"/>
  <c r="AG45" i="7"/>
  <c r="AG46" i="7" s="1"/>
  <c r="Q45" i="22"/>
  <c r="P44" i="22"/>
  <c r="V43" i="22"/>
  <c r="BF48" i="7"/>
  <c r="AX48" i="7" s="1"/>
  <c r="AY47" i="7"/>
  <c r="BC47" i="7" s="1"/>
  <c r="BD47" i="7" s="1"/>
  <c r="BR46" i="7"/>
  <c r="BV46" i="7" s="1"/>
  <c r="BW46" i="7" s="1"/>
  <c r="BJ48" i="7"/>
  <c r="BK48" i="7" s="1"/>
  <c r="BL48" i="7" s="1"/>
  <c r="BH48" i="7"/>
  <c r="BI49" i="7"/>
  <c r="BY47" i="7"/>
  <c r="BQ47" i="7" s="1"/>
  <c r="W42" i="22"/>
  <c r="X42" i="22" s="1"/>
  <c r="T48" i="7"/>
  <c r="L48" i="7" s="1"/>
  <c r="AQ49" i="7"/>
  <c r="AR49" i="7" s="1"/>
  <c r="AS49" i="7" s="1"/>
  <c r="AO49" i="7"/>
  <c r="AP50" i="7"/>
  <c r="D50" i="7"/>
  <c r="E49" i="7"/>
  <c r="F49" i="7" s="1"/>
  <c r="G49" i="7" s="1"/>
  <c r="C49" i="7"/>
  <c r="AZ47" i="7"/>
  <c r="A39" i="27" l="1"/>
  <c r="B41" i="28"/>
  <c r="C42" i="28"/>
  <c r="D41" i="28"/>
  <c r="K38" i="27"/>
  <c r="I38" i="27"/>
  <c r="F38" i="27"/>
  <c r="H38" i="27"/>
  <c r="G38" i="27"/>
  <c r="N47" i="7"/>
  <c r="N48" i="7" s="1"/>
  <c r="BR47" i="7"/>
  <c r="BV47" i="7" s="1"/>
  <c r="BW47" i="7" s="1"/>
  <c r="M48" i="7"/>
  <c r="Q48" i="7" s="1"/>
  <c r="R48" i="7" s="1"/>
  <c r="CJ47" i="7"/>
  <c r="CO47" i="7" s="1"/>
  <c r="CP47" i="7" s="1"/>
  <c r="AY48" i="7"/>
  <c r="BC48" i="7" s="1"/>
  <c r="BD48" i="7" s="1"/>
  <c r="AF47" i="7"/>
  <c r="AJ47" i="7" s="1"/>
  <c r="AK47" i="7" s="1"/>
  <c r="Q46" i="22"/>
  <c r="P45" i="22"/>
  <c r="T49" i="7"/>
  <c r="L49" i="7" s="1"/>
  <c r="AG47" i="7"/>
  <c r="BY48" i="7"/>
  <c r="BR48" i="7" s="1"/>
  <c r="W43" i="22"/>
  <c r="X43" i="22" s="1"/>
  <c r="BS47" i="7"/>
  <c r="CB50" i="7"/>
  <c r="CA49" i="7"/>
  <c r="CC49" i="7"/>
  <c r="CD49" i="7" s="1"/>
  <c r="CE49" i="7" s="1"/>
  <c r="CR48" i="7"/>
  <c r="CJ48" i="7" s="1"/>
  <c r="AQ50" i="7"/>
  <c r="AR50" i="7" s="1"/>
  <c r="AS50" i="7" s="1"/>
  <c r="AP51" i="7"/>
  <c r="AO50" i="7"/>
  <c r="X49" i="7"/>
  <c r="Y49" i="7" s="1"/>
  <c r="Z49" i="7" s="1"/>
  <c r="V49" i="7"/>
  <c r="W50" i="7"/>
  <c r="E50" i="7"/>
  <c r="F50" i="7" s="1"/>
  <c r="G50" i="7" s="1"/>
  <c r="C50" i="7"/>
  <c r="D51" i="7"/>
  <c r="BF49" i="7"/>
  <c r="AY49" i="7" s="1"/>
  <c r="V44" i="22"/>
  <c r="AM48" i="7"/>
  <c r="AF48" i="7" s="1"/>
  <c r="BJ49" i="7"/>
  <c r="BK49" i="7" s="1"/>
  <c r="BL49" i="7" s="1"/>
  <c r="BI50" i="7"/>
  <c r="BH49" i="7"/>
  <c r="AZ48" i="7"/>
  <c r="A40" i="27" l="1"/>
  <c r="C43" i="28"/>
  <c r="D42" i="28"/>
  <c r="B42" i="28"/>
  <c r="K39" i="27"/>
  <c r="G39" i="27"/>
  <c r="F39" i="27"/>
  <c r="I39" i="27"/>
  <c r="H39" i="27"/>
  <c r="AE48" i="7"/>
  <c r="AJ48" i="7" s="1"/>
  <c r="AK48" i="7" s="1"/>
  <c r="CK48" i="7"/>
  <c r="CO48" i="7" s="1"/>
  <c r="CP48" i="7" s="1"/>
  <c r="CL47" i="7"/>
  <c r="CL48" i="7" s="1"/>
  <c r="AX49" i="7"/>
  <c r="BC49" i="7" s="1"/>
  <c r="BD49" i="7" s="1"/>
  <c r="AO51" i="7"/>
  <c r="AP52" i="7"/>
  <c r="AQ51" i="7"/>
  <c r="AR51" i="7" s="1"/>
  <c r="AS51" i="7" s="1"/>
  <c r="CC50" i="7"/>
  <c r="CD50" i="7" s="1"/>
  <c r="CE50" i="7" s="1"/>
  <c r="CA50" i="7"/>
  <c r="CB51" i="7"/>
  <c r="M49" i="7"/>
  <c r="Q49" i="7" s="1"/>
  <c r="R49" i="7" s="1"/>
  <c r="BF50" i="7"/>
  <c r="AY50" i="7" s="1"/>
  <c r="E51" i="7"/>
  <c r="F51" i="7" s="1"/>
  <c r="G51" i="7" s="1"/>
  <c r="C51" i="7"/>
  <c r="D52" i="7"/>
  <c r="W44" i="22"/>
  <c r="X44" i="22" s="1"/>
  <c r="T50" i="7"/>
  <c r="M50" i="7" s="1"/>
  <c r="V45" i="22"/>
  <c r="BQ48" i="7"/>
  <c r="BV48" i="7" s="1"/>
  <c r="BW48" i="7" s="1"/>
  <c r="BI51" i="7"/>
  <c r="BJ50" i="7"/>
  <c r="BK50" i="7" s="1"/>
  <c r="BL50" i="7" s="1"/>
  <c r="BH50" i="7"/>
  <c r="AM49" i="7"/>
  <c r="AF49" i="7" s="1"/>
  <c r="CR49" i="7"/>
  <c r="CJ49" i="7" s="1"/>
  <c r="N49" i="7"/>
  <c r="W51" i="7"/>
  <c r="X50" i="7"/>
  <c r="Y50" i="7" s="1"/>
  <c r="Z50" i="7" s="1"/>
  <c r="V50" i="7"/>
  <c r="BY49" i="7"/>
  <c r="BR49" i="7" s="1"/>
  <c r="Q47" i="22"/>
  <c r="P46" i="22"/>
  <c r="AG48" i="7" l="1"/>
  <c r="A41" i="27"/>
  <c r="D43" i="28"/>
  <c r="B43" i="28"/>
  <c r="C44" i="28"/>
  <c r="K40" i="27"/>
  <c r="F40" i="27"/>
  <c r="H40" i="27"/>
  <c r="I40" i="27"/>
  <c r="G40" i="27"/>
  <c r="BQ49" i="7"/>
  <c r="BV49" i="7" s="1"/>
  <c r="BW49" i="7" s="1"/>
  <c r="CK49" i="7"/>
  <c r="CO49" i="7" s="1"/>
  <c r="CP49" i="7" s="1"/>
  <c r="AE49" i="7"/>
  <c r="AJ49" i="7" s="1"/>
  <c r="AK49" i="7" s="1"/>
  <c r="AZ49" i="7"/>
  <c r="AM50" i="7"/>
  <c r="AF50" i="7" s="1"/>
  <c r="CL49" i="7"/>
  <c r="C52" i="7"/>
  <c r="D53" i="7"/>
  <c r="E52" i="7"/>
  <c r="F52" i="7" s="1"/>
  <c r="G52" i="7" s="1"/>
  <c r="CC51" i="7"/>
  <c r="CD51" i="7" s="1"/>
  <c r="CE51" i="7" s="1"/>
  <c r="CB52" i="7"/>
  <c r="CA51" i="7"/>
  <c r="Q48" i="22"/>
  <c r="P47" i="22"/>
  <c r="V51" i="7"/>
  <c r="W52" i="7"/>
  <c r="X51" i="7"/>
  <c r="Y51" i="7" s="1"/>
  <c r="Z51" i="7" s="1"/>
  <c r="BY50" i="7"/>
  <c r="BR50" i="7" s="1"/>
  <c r="T51" i="7"/>
  <c r="M51" i="7" s="1"/>
  <c r="CR50" i="7"/>
  <c r="CK50" i="7" s="1"/>
  <c r="BH51" i="7"/>
  <c r="BI52" i="7"/>
  <c r="BJ51" i="7"/>
  <c r="BK51" i="7" s="1"/>
  <c r="BL51" i="7" s="1"/>
  <c r="L50" i="7"/>
  <c r="N50" i="7" s="1"/>
  <c r="BS48" i="7"/>
  <c r="BF51" i="7"/>
  <c r="AY51" i="7" s="1"/>
  <c r="AX50" i="7"/>
  <c r="AQ52" i="7"/>
  <c r="AR52" i="7" s="1"/>
  <c r="AS52" i="7" s="1"/>
  <c r="AO52" i="7"/>
  <c r="AP53" i="7"/>
  <c r="V46" i="22"/>
  <c r="W45" i="22"/>
  <c r="X45" i="22" s="1"/>
  <c r="BS49" i="7" l="1"/>
  <c r="A42" i="27"/>
  <c r="C45" i="28"/>
  <c r="D44" i="28"/>
  <c r="B44" i="28"/>
  <c r="K41" i="27"/>
  <c r="F41" i="27"/>
  <c r="I41" i="27"/>
  <c r="H41" i="27"/>
  <c r="G41" i="27"/>
  <c r="AG49" i="7"/>
  <c r="BQ50" i="7"/>
  <c r="BT50" i="7" s="1"/>
  <c r="L51" i="7"/>
  <c r="Q51" i="7" s="1"/>
  <c r="AX51" i="7"/>
  <c r="BC51" i="7" s="1"/>
  <c r="Q49" i="22"/>
  <c r="P48" i="22"/>
  <c r="CJ50" i="7"/>
  <c r="CL50" i="7" s="1"/>
  <c r="AQ53" i="7"/>
  <c r="AR53" i="7" s="1"/>
  <c r="AS53" i="7" s="1"/>
  <c r="AO53" i="7"/>
  <c r="AP54" i="7"/>
  <c r="AM51" i="7"/>
  <c r="AF51" i="7" s="1"/>
  <c r="CB53" i="7"/>
  <c r="CC52" i="7"/>
  <c r="CD52" i="7" s="1"/>
  <c r="CE52" i="7" s="1"/>
  <c r="CA52" i="7"/>
  <c r="AE50" i="7"/>
  <c r="AJ50" i="7" s="1"/>
  <c r="AK50" i="7" s="1"/>
  <c r="W46" i="22"/>
  <c r="X46" i="22" s="1"/>
  <c r="H5" i="7"/>
  <c r="O50" i="7"/>
  <c r="W53" i="7"/>
  <c r="X52" i="7"/>
  <c r="Y52" i="7" s="1"/>
  <c r="Z52" i="7" s="1"/>
  <c r="V52" i="7"/>
  <c r="CR51" i="7"/>
  <c r="CK51" i="7" s="1"/>
  <c r="BY51" i="7"/>
  <c r="BQ51" i="7" s="1"/>
  <c r="T52" i="7"/>
  <c r="L52" i="7" s="1"/>
  <c r="Q50" i="7"/>
  <c r="R50" i="7" s="1"/>
  <c r="BF52" i="7"/>
  <c r="AX52" i="7" s="1"/>
  <c r="AT5" i="7"/>
  <c r="O16" i="26" s="1"/>
  <c r="BA50" i="7"/>
  <c r="AZ50" i="7"/>
  <c r="BI53" i="7"/>
  <c r="BJ52" i="7"/>
  <c r="BK52" i="7" s="1"/>
  <c r="BL52" i="7" s="1"/>
  <c r="BH52" i="7"/>
  <c r="V47" i="22"/>
  <c r="C53" i="7"/>
  <c r="D54" i="7"/>
  <c r="E53" i="7"/>
  <c r="F53" i="7" s="1"/>
  <c r="G53" i="7" s="1"/>
  <c r="BC50" i="7"/>
  <c r="BD50" i="7" s="1"/>
  <c r="BV50" i="7" l="1"/>
  <c r="BW50" i="7" s="1"/>
  <c r="A43" i="27"/>
  <c r="C46" i="28"/>
  <c r="D45" i="28"/>
  <c r="B45" i="28"/>
  <c r="K42" i="27"/>
  <c r="H42" i="27"/>
  <c r="I42" i="27"/>
  <c r="G42" i="27"/>
  <c r="F42" i="27"/>
  <c r="BS50" i="7"/>
  <c r="BS51" i="7" s="1"/>
  <c r="AZ51" i="7"/>
  <c r="AZ52" i="7" s="1"/>
  <c r="BM5" i="7"/>
  <c r="O17" i="26" s="1"/>
  <c r="CJ51" i="7"/>
  <c r="CO51" i="7" s="1"/>
  <c r="R51" i="7"/>
  <c r="AY52" i="7"/>
  <c r="BC52" i="7" s="1"/>
  <c r="BD52" i="7" s="1"/>
  <c r="N51" i="7"/>
  <c r="N52" i="7" s="1"/>
  <c r="AE51" i="7"/>
  <c r="AJ51" i="7" s="1"/>
  <c r="AK51" i="7" s="1"/>
  <c r="BD51" i="7"/>
  <c r="M52" i="7"/>
  <c r="Q52" i="7" s="1"/>
  <c r="R52" i="7" s="1"/>
  <c r="W47" i="22"/>
  <c r="X47" i="22" s="1"/>
  <c r="CR52" i="7"/>
  <c r="CK52" i="7" s="1"/>
  <c r="BR51" i="7"/>
  <c r="BV51" i="7" s="1"/>
  <c r="CB54" i="7"/>
  <c r="CC53" i="7"/>
  <c r="CD53" i="7" s="1"/>
  <c r="CE53" i="7" s="1"/>
  <c r="CA53" i="7"/>
  <c r="BF53" i="7"/>
  <c r="AX53" i="7" s="1"/>
  <c r="AG50" i="7"/>
  <c r="BY52" i="7"/>
  <c r="BR52" i="7" s="1"/>
  <c r="CF5" i="7"/>
  <c r="O18" i="26" s="1"/>
  <c r="CM50" i="7"/>
  <c r="X53" i="7"/>
  <c r="Y53" i="7" s="1"/>
  <c r="Z53" i="7" s="1"/>
  <c r="V53" i="7"/>
  <c r="W54" i="7"/>
  <c r="BH53" i="7"/>
  <c r="BJ53" i="7"/>
  <c r="BK53" i="7" s="1"/>
  <c r="BL53" i="7" s="1"/>
  <c r="BI54" i="7"/>
  <c r="V48" i="22"/>
  <c r="T53" i="7"/>
  <c r="M53" i="7" s="1"/>
  <c r="D55" i="7"/>
  <c r="E54" i="7"/>
  <c r="F54" i="7" s="1"/>
  <c r="G54" i="7" s="1"/>
  <c r="C54" i="7"/>
  <c r="AA5" i="7"/>
  <c r="O15" i="26" s="1"/>
  <c r="AH50" i="7"/>
  <c r="AP55" i="7"/>
  <c r="AO54" i="7"/>
  <c r="AQ54" i="7"/>
  <c r="AR54" i="7" s="1"/>
  <c r="AS54" i="7" s="1"/>
  <c r="CO50" i="7"/>
  <c r="CP50" i="7" s="1"/>
  <c r="AM52" i="7"/>
  <c r="AE52" i="7" s="1"/>
  <c r="Q50" i="22"/>
  <c r="P49" i="22"/>
  <c r="BW51" i="7" l="1"/>
  <c r="A44" i="27"/>
  <c r="B46" i="28"/>
  <c r="C47" i="28"/>
  <c r="D46" i="28"/>
  <c r="K43" i="27"/>
  <c r="H43" i="27"/>
  <c r="I43" i="27"/>
  <c r="G43" i="27"/>
  <c r="F43" i="27"/>
  <c r="BQ52" i="7"/>
  <c r="BV52" i="7" s="1"/>
  <c r="BW52" i="7" s="1"/>
  <c r="CL51" i="7"/>
  <c r="AG51" i="7"/>
  <c r="AG52" i="7" s="1"/>
  <c r="L53" i="7"/>
  <c r="Q53" i="7" s="1"/>
  <c r="R53" i="7" s="1"/>
  <c r="AZ53" i="7"/>
  <c r="BH54" i="7"/>
  <c r="BI55" i="7"/>
  <c r="BJ54" i="7"/>
  <c r="BK54" i="7" s="1"/>
  <c r="BL54" i="7" s="1"/>
  <c r="AY53" i="7"/>
  <c r="BC53" i="7" s="1"/>
  <c r="BD53" i="7" s="1"/>
  <c r="BY53" i="7"/>
  <c r="BQ53" i="7" s="1"/>
  <c r="Q51" i="22"/>
  <c r="P50" i="22"/>
  <c r="CR53" i="7"/>
  <c r="CJ53" i="7" s="1"/>
  <c r="CP51" i="7"/>
  <c r="W55" i="7"/>
  <c r="X54" i="7"/>
  <c r="Y54" i="7" s="1"/>
  <c r="Z54" i="7" s="1"/>
  <c r="V54" i="7"/>
  <c r="CA54" i="7"/>
  <c r="CC54" i="7"/>
  <c r="CD54" i="7" s="1"/>
  <c r="CE54" i="7" s="1"/>
  <c r="CB55" i="7"/>
  <c r="AF52" i="7"/>
  <c r="AJ52" i="7" s="1"/>
  <c r="AK52" i="7" s="1"/>
  <c r="AP56" i="7"/>
  <c r="AQ55" i="7"/>
  <c r="AR55" i="7" s="1"/>
  <c r="AS55" i="7" s="1"/>
  <c r="AO55" i="7"/>
  <c r="AM53" i="7"/>
  <c r="AE53" i="7" s="1"/>
  <c r="CJ52" i="7"/>
  <c r="CO52" i="7" s="1"/>
  <c r="CP52" i="7" s="1"/>
  <c r="BF54" i="7"/>
  <c r="AY54" i="7" s="1"/>
  <c r="T54" i="7"/>
  <c r="M54" i="7" s="1"/>
  <c r="V49" i="22"/>
  <c r="E55" i="7"/>
  <c r="F55" i="7" s="1"/>
  <c r="G55" i="7" s="1"/>
  <c r="C55" i="7"/>
  <c r="D56" i="7"/>
  <c r="W48" i="22"/>
  <c r="X48" i="22" s="1"/>
  <c r="A45" i="27" l="1"/>
  <c r="C48" i="28"/>
  <c r="D47" i="28"/>
  <c r="B47" i="28"/>
  <c r="K44" i="27"/>
  <c r="H44" i="27"/>
  <c r="F44" i="27"/>
  <c r="G44" i="27"/>
  <c r="I44" i="27"/>
  <c r="BS52" i="7"/>
  <c r="BS53" i="7" s="1"/>
  <c r="N53" i="7"/>
  <c r="AF53" i="7"/>
  <c r="AJ53" i="7" s="1"/>
  <c r="AK53" i="7" s="1"/>
  <c r="CK53" i="7"/>
  <c r="CO53" i="7" s="1"/>
  <c r="CP53" i="7" s="1"/>
  <c r="BR53" i="7"/>
  <c r="BV53" i="7" s="1"/>
  <c r="BW53" i="7" s="1"/>
  <c r="W56" i="7"/>
  <c r="X55" i="7"/>
  <c r="Y55" i="7" s="1"/>
  <c r="Z55" i="7" s="1"/>
  <c r="V55" i="7"/>
  <c r="BJ55" i="7"/>
  <c r="BK55" i="7" s="1"/>
  <c r="BL55" i="7" s="1"/>
  <c r="BI56" i="7"/>
  <c r="BH55" i="7"/>
  <c r="AM54" i="7"/>
  <c r="AF54" i="7" s="1"/>
  <c r="AG53" i="7"/>
  <c r="Q52" i="22"/>
  <c r="P51" i="22"/>
  <c r="L54" i="7"/>
  <c r="AX54" i="7"/>
  <c r="BC54" i="7" s="1"/>
  <c r="BD54" i="7" s="1"/>
  <c r="CC55" i="7"/>
  <c r="CD55" i="7" s="1"/>
  <c r="CE55" i="7" s="1"/>
  <c r="CB56" i="7"/>
  <c r="CA55" i="7"/>
  <c r="BY54" i="7"/>
  <c r="BQ54" i="7" s="1"/>
  <c r="D57" i="7"/>
  <c r="E56" i="7"/>
  <c r="F56" i="7" s="1"/>
  <c r="G56" i="7" s="1"/>
  <c r="C56" i="7"/>
  <c r="Y48" i="22" s="1"/>
  <c r="CR54" i="7"/>
  <c r="CJ54" i="7" s="1"/>
  <c r="CL52" i="7"/>
  <c r="CL53" i="7" s="1"/>
  <c r="T55" i="7"/>
  <c r="M55" i="7" s="1"/>
  <c r="BF55" i="7"/>
  <c r="AX55" i="7" s="1"/>
  <c r="W49" i="22"/>
  <c r="X49" i="22" s="1"/>
  <c r="AQ56" i="7"/>
  <c r="AR56" i="7" s="1"/>
  <c r="AS56" i="7" s="1"/>
  <c r="AO56" i="7"/>
  <c r="AP57" i="7"/>
  <c r="V50" i="22"/>
  <c r="Y49" i="22" l="1"/>
  <c r="Y45" i="22"/>
  <c r="Y46" i="22"/>
  <c r="Y47" i="22"/>
  <c r="A46" i="27"/>
  <c r="D48" i="28"/>
  <c r="B48" i="28"/>
  <c r="C49" i="28"/>
  <c r="K45" i="27"/>
  <c r="I45" i="27"/>
  <c r="H45" i="27"/>
  <c r="G45" i="27"/>
  <c r="F45" i="27"/>
  <c r="AE54" i="7"/>
  <c r="AG54" i="7" s="1"/>
  <c r="BR54" i="7"/>
  <c r="BV54" i="7" s="1"/>
  <c r="BW54" i="7" s="1"/>
  <c r="AY55" i="7"/>
  <c r="BC55" i="7" s="1"/>
  <c r="BD55" i="7" s="1"/>
  <c r="C57" i="7"/>
  <c r="D58" i="7"/>
  <c r="E57" i="7"/>
  <c r="F57" i="7" s="1"/>
  <c r="G57" i="7" s="1"/>
  <c r="W50" i="22"/>
  <c r="X50" i="22" s="1"/>
  <c r="CK54" i="7"/>
  <c r="CO54" i="7" s="1"/>
  <c r="CP54" i="7" s="1"/>
  <c r="T56" i="7"/>
  <c r="L56" i="7" s="1"/>
  <c r="CR55" i="7"/>
  <c r="CK55" i="7" s="1"/>
  <c r="Q53" i="22"/>
  <c r="P52" i="22"/>
  <c r="BF56" i="7"/>
  <c r="AY56" i="7" s="1"/>
  <c r="L55" i="7"/>
  <c r="AZ54" i="7"/>
  <c r="AZ55" i="7" s="1"/>
  <c r="AM55" i="7"/>
  <c r="AF55" i="7" s="1"/>
  <c r="BS54" i="7"/>
  <c r="N54" i="7"/>
  <c r="V51" i="22"/>
  <c r="AQ57" i="7"/>
  <c r="AR57" i="7" s="1"/>
  <c r="AS57" i="7" s="1"/>
  <c r="AO57" i="7"/>
  <c r="AP58" i="7"/>
  <c r="BI57" i="7"/>
  <c r="BJ56" i="7"/>
  <c r="BK56" i="7" s="1"/>
  <c r="BL56" i="7" s="1"/>
  <c r="BH56" i="7"/>
  <c r="V56" i="7"/>
  <c r="W57" i="7"/>
  <c r="X56" i="7"/>
  <c r="Y56" i="7" s="1"/>
  <c r="Z56" i="7" s="1"/>
  <c r="CL54" i="7"/>
  <c r="Y9" i="22"/>
  <c r="Y10" i="22"/>
  <c r="Y11" i="22"/>
  <c r="Y12" i="22"/>
  <c r="Y13" i="22"/>
  <c r="Y14" i="22"/>
  <c r="Y15" i="22"/>
  <c r="Y16" i="22"/>
  <c r="Y17" i="22"/>
  <c r="Y18" i="22"/>
  <c r="Y19" i="22"/>
  <c r="Y20" i="22"/>
  <c r="Y21" i="22"/>
  <c r="Y22" i="22"/>
  <c r="Y23" i="22"/>
  <c r="Y24" i="22"/>
  <c r="Y25" i="22"/>
  <c r="Y26" i="22"/>
  <c r="Y27" i="22"/>
  <c r="Y28" i="22"/>
  <c r="Y29" i="22"/>
  <c r="Y30" i="22"/>
  <c r="Y31" i="22"/>
  <c r="Y32" i="22"/>
  <c r="Y33" i="22"/>
  <c r="Y34" i="22"/>
  <c r="Y35" i="22"/>
  <c r="Y36" i="22"/>
  <c r="Y37" i="22"/>
  <c r="Y38" i="22"/>
  <c r="Y39" i="22"/>
  <c r="Y40" i="22"/>
  <c r="Y41" i="22"/>
  <c r="Y42" i="22"/>
  <c r="Y43" i="22"/>
  <c r="Y44" i="22"/>
  <c r="CA56" i="7"/>
  <c r="CB57" i="7"/>
  <c r="CC56" i="7"/>
  <c r="CD56" i="7" s="1"/>
  <c r="CE56" i="7" s="1"/>
  <c r="BY55" i="7"/>
  <c r="BR55" i="7" s="1"/>
  <c r="Q54" i="7"/>
  <c r="R54" i="7" s="1"/>
  <c r="Y50" i="22" l="1"/>
  <c r="Q55" i="7"/>
  <c r="R55" i="7" s="1"/>
  <c r="A47" i="27"/>
  <c r="B49" i="28"/>
  <c r="C50" i="28"/>
  <c r="D49" i="28"/>
  <c r="K46" i="27"/>
  <c r="G46" i="27"/>
  <c r="I46" i="27"/>
  <c r="F46" i="27"/>
  <c r="H46" i="27"/>
  <c r="AJ54" i="7"/>
  <c r="AK54" i="7" s="1"/>
  <c r="CJ55" i="7"/>
  <c r="CO55" i="7" s="1"/>
  <c r="CP55" i="7" s="1"/>
  <c r="AX56" i="7"/>
  <c r="BC56" i="7" s="1"/>
  <c r="BD56" i="7" s="1"/>
  <c r="BY56" i="7"/>
  <c r="BR56" i="7" s="1"/>
  <c r="AM56" i="7"/>
  <c r="AF56" i="7" s="1"/>
  <c r="BF57" i="7"/>
  <c r="AY57" i="7" s="1"/>
  <c r="AE55" i="7"/>
  <c r="AG55" i="7" s="1"/>
  <c r="D59" i="7"/>
  <c r="E58" i="7"/>
  <c r="F58" i="7" s="1"/>
  <c r="G58" i="7" s="1"/>
  <c r="C58" i="7"/>
  <c r="CR56" i="7"/>
  <c r="CJ56" i="7" s="1"/>
  <c r="CC57" i="7"/>
  <c r="CD57" i="7" s="1"/>
  <c r="CE57" i="7" s="1"/>
  <c r="CB58" i="7"/>
  <c r="CA57" i="7"/>
  <c r="X57" i="7"/>
  <c r="Y57" i="7" s="1"/>
  <c r="Z57" i="7" s="1"/>
  <c r="W58" i="7"/>
  <c r="V57" i="7"/>
  <c r="W51" i="22"/>
  <c r="X51" i="22" s="1"/>
  <c r="M56" i="7"/>
  <c r="Q56" i="7" s="1"/>
  <c r="BQ55" i="7"/>
  <c r="BV55" i="7" s="1"/>
  <c r="BW55" i="7" s="1"/>
  <c r="T57" i="7"/>
  <c r="L57" i="7" s="1"/>
  <c r="V52" i="22"/>
  <c r="BI58" i="7"/>
  <c r="BH57" i="7"/>
  <c r="BJ57" i="7"/>
  <c r="BK57" i="7" s="1"/>
  <c r="BL57" i="7" s="1"/>
  <c r="AO58" i="7"/>
  <c r="AP59" i="7"/>
  <c r="AQ58" i="7"/>
  <c r="AR58" i="7" s="1"/>
  <c r="AS58" i="7" s="1"/>
  <c r="N55" i="7"/>
  <c r="N56" i="7" s="1"/>
  <c r="Q54" i="22"/>
  <c r="P53" i="22"/>
  <c r="R56" i="7" l="1"/>
  <c r="CL55" i="7"/>
  <c r="CL56" i="7" s="1"/>
  <c r="A48" i="27"/>
  <c r="C51" i="28"/>
  <c r="B50" i="28"/>
  <c r="D50" i="28"/>
  <c r="K47" i="27"/>
  <c r="H47" i="27"/>
  <c r="I47" i="27"/>
  <c r="G47" i="27"/>
  <c r="F47" i="27"/>
  <c r="AZ56" i="7"/>
  <c r="CK56" i="7"/>
  <c r="CO56" i="7" s="1"/>
  <c r="CP56" i="7" s="1"/>
  <c r="N57" i="7"/>
  <c r="AX57" i="7"/>
  <c r="M57" i="7"/>
  <c r="Q57" i="7" s="1"/>
  <c r="R57" i="7" s="1"/>
  <c r="AE56" i="7"/>
  <c r="AJ56" i="7" s="1"/>
  <c r="Q55" i="22"/>
  <c r="P54" i="22"/>
  <c r="CR57" i="7"/>
  <c r="CK57" i="7" s="1"/>
  <c r="C59" i="7"/>
  <c r="E59" i="7"/>
  <c r="F59" i="7" s="1"/>
  <c r="G59" i="7" s="1"/>
  <c r="D60" i="7"/>
  <c r="BS55" i="7"/>
  <c r="BH58" i="7"/>
  <c r="BI59" i="7"/>
  <c r="BJ58" i="7"/>
  <c r="BK58" i="7" s="1"/>
  <c r="BL58" i="7" s="1"/>
  <c r="CB59" i="7"/>
  <c r="CC58" i="7"/>
  <c r="CD58" i="7" s="1"/>
  <c r="CE58" i="7" s="1"/>
  <c r="CA58" i="7"/>
  <c r="W52" i="22"/>
  <c r="X52" i="22" s="1"/>
  <c r="BQ56" i="7"/>
  <c r="BV56" i="7" s="1"/>
  <c r="BW56" i="7" s="1"/>
  <c r="T58" i="7"/>
  <c r="M58" i="7" s="1"/>
  <c r="V53" i="22"/>
  <c r="BF58" i="7"/>
  <c r="AX58" i="7" s="1"/>
  <c r="X58" i="7"/>
  <c r="Y58" i="7" s="1"/>
  <c r="Z58" i="7" s="1"/>
  <c r="V58" i="7"/>
  <c r="W59" i="7"/>
  <c r="AJ55" i="7"/>
  <c r="AK55" i="7" s="1"/>
  <c r="BY57" i="7"/>
  <c r="BR57" i="7" s="1"/>
  <c r="AO59" i="7"/>
  <c r="AP60" i="7"/>
  <c r="AQ59" i="7"/>
  <c r="AR59" i="7" s="1"/>
  <c r="AS59" i="7" s="1"/>
  <c r="AM57" i="7"/>
  <c r="AE57" i="7" s="1"/>
  <c r="AZ57" i="7" l="1"/>
  <c r="AZ58" i="7" s="1"/>
  <c r="A49" i="27"/>
  <c r="D51" i="28"/>
  <c r="B51" i="28"/>
  <c r="C52" i="28"/>
  <c r="K48" i="27"/>
  <c r="G48" i="27"/>
  <c r="I48" i="27"/>
  <c r="F48" i="27"/>
  <c r="H48" i="27"/>
  <c r="AF57" i="7"/>
  <c r="AJ57" i="7" s="1"/>
  <c r="AK57" i="7" s="1"/>
  <c r="L58" i="7"/>
  <c r="N58" i="7" s="1"/>
  <c r="AG56" i="7"/>
  <c r="AG57" i="7" s="1"/>
  <c r="BC57" i="7"/>
  <c r="BD57" i="7" s="1"/>
  <c r="AY58" i="7"/>
  <c r="BC58" i="7" s="1"/>
  <c r="CJ57" i="7"/>
  <c r="CO57" i="7" s="1"/>
  <c r="CP57" i="7" s="1"/>
  <c r="BH59" i="7"/>
  <c r="BJ59" i="7"/>
  <c r="BK59" i="7" s="1"/>
  <c r="BL59" i="7" s="1"/>
  <c r="BI60" i="7"/>
  <c r="BF59" i="7"/>
  <c r="AY59" i="7" s="1"/>
  <c r="BS56" i="7"/>
  <c r="W60" i="7"/>
  <c r="X59" i="7"/>
  <c r="Y59" i="7" s="1"/>
  <c r="Z59" i="7" s="1"/>
  <c r="V59" i="7"/>
  <c r="V54" i="22"/>
  <c r="AP61" i="7"/>
  <c r="AQ60" i="7"/>
  <c r="AR60" i="7" s="1"/>
  <c r="AS60" i="7" s="1"/>
  <c r="AO60" i="7"/>
  <c r="AM58" i="7"/>
  <c r="AE58" i="7" s="1"/>
  <c r="E60" i="7"/>
  <c r="F60" i="7" s="1"/>
  <c r="G60" i="7" s="1"/>
  <c r="C60" i="7"/>
  <c r="D61" i="7"/>
  <c r="CR58" i="7"/>
  <c r="CJ58" i="7" s="1"/>
  <c r="T59" i="7"/>
  <c r="M59" i="7" s="1"/>
  <c r="Q56" i="22"/>
  <c r="P55" i="22"/>
  <c r="CB60" i="7"/>
  <c r="CA59" i="7"/>
  <c r="CC59" i="7"/>
  <c r="CD59" i="7" s="1"/>
  <c r="CE59" i="7" s="1"/>
  <c r="AK56" i="7"/>
  <c r="BQ57" i="7"/>
  <c r="BV57" i="7" s="1"/>
  <c r="BW57" i="7" s="1"/>
  <c r="W53" i="22"/>
  <c r="X53" i="22" s="1"/>
  <c r="BY58" i="7"/>
  <c r="BQ58" i="7" s="1"/>
  <c r="A50" i="27" l="1"/>
  <c r="C53" i="28"/>
  <c r="D52" i="28"/>
  <c r="B52" i="28"/>
  <c r="K49" i="27"/>
  <c r="H49" i="27"/>
  <c r="G49" i="27"/>
  <c r="F49" i="27"/>
  <c r="I49" i="27"/>
  <c r="BD58" i="7"/>
  <c r="Q58" i="7"/>
  <c r="R58" i="7" s="1"/>
  <c r="CK58" i="7"/>
  <c r="CO58" i="7" s="1"/>
  <c r="CP58" i="7" s="1"/>
  <c r="L59" i="7"/>
  <c r="N59" i="7" s="1"/>
  <c r="AF58" i="7"/>
  <c r="AJ58" i="7" s="1"/>
  <c r="AK58" i="7" s="1"/>
  <c r="CL57" i="7"/>
  <c r="CL58" i="7" s="1"/>
  <c r="BR58" i="7"/>
  <c r="BV58" i="7" s="1"/>
  <c r="BW58" i="7" s="1"/>
  <c r="CR59" i="7"/>
  <c r="CJ59" i="7" s="1"/>
  <c r="W61" i="7"/>
  <c r="X60" i="7"/>
  <c r="Y60" i="7" s="1"/>
  <c r="Z60" i="7" s="1"/>
  <c r="V60" i="7"/>
  <c r="BY59" i="7"/>
  <c r="BQ59" i="7" s="1"/>
  <c r="V55" i="22"/>
  <c r="BS57" i="7"/>
  <c r="BS58" i="7" s="1"/>
  <c r="BI61" i="7"/>
  <c r="BH60" i="7"/>
  <c r="BJ60" i="7"/>
  <c r="BK60" i="7" s="1"/>
  <c r="BL60" i="7" s="1"/>
  <c r="BF60" i="7"/>
  <c r="AY60" i="7" s="1"/>
  <c r="C61" i="7"/>
  <c r="D62" i="7"/>
  <c r="E61" i="7"/>
  <c r="F61" i="7" s="1"/>
  <c r="G61" i="7" s="1"/>
  <c r="AP62" i="7"/>
  <c r="AQ61" i="7"/>
  <c r="AR61" i="7" s="1"/>
  <c r="AS61" i="7" s="1"/>
  <c r="AO61" i="7"/>
  <c r="AX59" i="7"/>
  <c r="AZ59" i="7" s="1"/>
  <c r="CB61" i="7"/>
  <c r="CC60" i="7"/>
  <c r="CD60" i="7" s="1"/>
  <c r="CE60" i="7" s="1"/>
  <c r="CA60" i="7"/>
  <c r="AG58" i="7"/>
  <c r="W54" i="22"/>
  <c r="X54" i="22" s="1"/>
  <c r="AM59" i="7"/>
  <c r="AF59" i="7" s="1"/>
  <c r="Q57" i="22"/>
  <c r="P56" i="22"/>
  <c r="T60" i="7"/>
  <c r="M60" i="7" s="1"/>
  <c r="A51" i="27" l="1"/>
  <c r="C54" i="28"/>
  <c r="D53" i="28"/>
  <c r="B53" i="28"/>
  <c r="K50" i="27"/>
  <c r="F50" i="27"/>
  <c r="H50" i="27"/>
  <c r="I50" i="27"/>
  <c r="G50" i="27"/>
  <c r="AX60" i="7"/>
  <c r="AZ60" i="7" s="1"/>
  <c r="AE59" i="7"/>
  <c r="AJ59" i="7" s="1"/>
  <c r="AK59" i="7" s="1"/>
  <c r="CL59" i="7"/>
  <c r="BR59" i="7"/>
  <c r="BV59" i="7" s="1"/>
  <c r="BW59" i="7" s="1"/>
  <c r="Q59" i="7"/>
  <c r="R59" i="7" s="1"/>
  <c r="CR60" i="7"/>
  <c r="CJ60" i="7" s="1"/>
  <c r="W55" i="22"/>
  <c r="X55" i="22" s="1"/>
  <c r="CK59" i="7"/>
  <c r="CO59" i="7" s="1"/>
  <c r="CP59" i="7" s="1"/>
  <c r="L60" i="7"/>
  <c r="N60" i="7" s="1"/>
  <c r="Q58" i="22"/>
  <c r="P57" i="22"/>
  <c r="BY60" i="7"/>
  <c r="BR60" i="7" s="1"/>
  <c r="CA61" i="7"/>
  <c r="CB62" i="7"/>
  <c r="CC61" i="7"/>
  <c r="CD61" i="7" s="1"/>
  <c r="CE61" i="7" s="1"/>
  <c r="BF61" i="7"/>
  <c r="AY61" i="7" s="1"/>
  <c r="V56" i="22"/>
  <c r="AO62" i="7"/>
  <c r="AP63" i="7"/>
  <c r="AQ62" i="7"/>
  <c r="AR62" i="7" s="1"/>
  <c r="AS62" i="7" s="1"/>
  <c r="T61" i="7"/>
  <c r="M61" i="7" s="1"/>
  <c r="BJ61" i="7"/>
  <c r="BK61" i="7" s="1"/>
  <c r="BL61" i="7" s="1"/>
  <c r="BI62" i="7"/>
  <c r="BH61" i="7"/>
  <c r="AM60" i="7"/>
  <c r="AF60" i="7" s="1"/>
  <c r="BC59" i="7"/>
  <c r="BD59" i="7" s="1"/>
  <c r="D63" i="7"/>
  <c r="E62" i="7"/>
  <c r="F62" i="7" s="1"/>
  <c r="G62" i="7" s="1"/>
  <c r="C62" i="7"/>
  <c r="BS59" i="7"/>
  <c r="V61" i="7"/>
  <c r="W62" i="7"/>
  <c r="X61" i="7"/>
  <c r="Y61" i="7" s="1"/>
  <c r="Z61" i="7" s="1"/>
  <c r="A52" i="27" l="1"/>
  <c r="B54" i="28"/>
  <c r="C55" i="28"/>
  <c r="D54" i="28"/>
  <c r="K51" i="27"/>
  <c r="G51" i="27"/>
  <c r="F51" i="27"/>
  <c r="I51" i="27"/>
  <c r="H51" i="27"/>
  <c r="AG59" i="7"/>
  <c r="CL60" i="7"/>
  <c r="BC60" i="7"/>
  <c r="BD60" i="7" s="1"/>
  <c r="AX61" i="7"/>
  <c r="BC61" i="7" s="1"/>
  <c r="AE60" i="7"/>
  <c r="AJ60" i="7" s="1"/>
  <c r="AK60" i="7" s="1"/>
  <c r="BF62" i="7"/>
  <c r="AX62" i="7" s="1"/>
  <c r="CR61" i="7"/>
  <c r="CJ61" i="7" s="1"/>
  <c r="CA62" i="7"/>
  <c r="CB63" i="7"/>
  <c r="CC62" i="7"/>
  <c r="CD62" i="7" s="1"/>
  <c r="CE62" i="7" s="1"/>
  <c r="CK60" i="7"/>
  <c r="CO60" i="7" s="1"/>
  <c r="CP60" i="7" s="1"/>
  <c r="AP64" i="7"/>
  <c r="AQ63" i="7"/>
  <c r="AR63" i="7" s="1"/>
  <c r="AS63" i="7" s="1"/>
  <c r="AO63" i="7"/>
  <c r="Q59" i="22"/>
  <c r="P58" i="22"/>
  <c r="V57" i="22"/>
  <c r="W56" i="22"/>
  <c r="X56" i="22" s="1"/>
  <c r="W63" i="7"/>
  <c r="X62" i="7"/>
  <c r="Y62" i="7" s="1"/>
  <c r="Z62" i="7" s="1"/>
  <c r="V62" i="7"/>
  <c r="BY61" i="7"/>
  <c r="BR61" i="7" s="1"/>
  <c r="Q60" i="7"/>
  <c r="R60" i="7" s="1"/>
  <c r="D64" i="7"/>
  <c r="C63" i="7"/>
  <c r="E63" i="7"/>
  <c r="F63" i="7" s="1"/>
  <c r="G63" i="7" s="1"/>
  <c r="L61" i="7"/>
  <c r="Q61" i="7" s="1"/>
  <c r="BQ60" i="7"/>
  <c r="BV60" i="7" s="1"/>
  <c r="BW60" i="7" s="1"/>
  <c r="T62" i="7"/>
  <c r="M62" i="7" s="1"/>
  <c r="BJ62" i="7"/>
  <c r="BK62" i="7" s="1"/>
  <c r="BL62" i="7" s="1"/>
  <c r="BI63" i="7"/>
  <c r="BH62" i="7"/>
  <c r="AM61" i="7"/>
  <c r="AE61" i="7" s="1"/>
  <c r="CL61" i="7" l="1"/>
  <c r="A53" i="27"/>
  <c r="C56" i="28"/>
  <c r="D55" i="28"/>
  <c r="B55" i="28"/>
  <c r="K52" i="27"/>
  <c r="F52" i="27"/>
  <c r="H52" i="27"/>
  <c r="I52" i="27"/>
  <c r="G52" i="27"/>
  <c r="BD61" i="7"/>
  <c r="AZ61" i="7"/>
  <c r="AZ62" i="7" s="1"/>
  <c r="AG60" i="7"/>
  <c r="AG61" i="7" s="1"/>
  <c r="AF61" i="7"/>
  <c r="AJ61" i="7" s="1"/>
  <c r="AK61" i="7" s="1"/>
  <c r="L62" i="7"/>
  <c r="Q62" i="7" s="1"/>
  <c r="R62" i="7" s="1"/>
  <c r="CK61" i="7"/>
  <c r="CO61" i="7" s="1"/>
  <c r="CP61" i="7" s="1"/>
  <c r="BQ61" i="7"/>
  <c r="BV61" i="7" s="1"/>
  <c r="BW61" i="7" s="1"/>
  <c r="R61" i="7"/>
  <c r="AT6" i="7"/>
  <c r="P16" i="26" s="1"/>
  <c r="BA62" i="7"/>
  <c r="BF63" i="7"/>
  <c r="AY63" i="7" s="1"/>
  <c r="W57" i="22"/>
  <c r="X57" i="22" s="1"/>
  <c r="AO64" i="7"/>
  <c r="AP65" i="7"/>
  <c r="AQ64" i="7"/>
  <c r="AR64" i="7" s="1"/>
  <c r="AS64" i="7" s="1"/>
  <c r="AY62" i="7"/>
  <c r="BC62" i="7" s="1"/>
  <c r="BD62" i="7" s="1"/>
  <c r="BH63" i="7"/>
  <c r="BI64" i="7"/>
  <c r="BJ63" i="7"/>
  <c r="BK63" i="7" s="1"/>
  <c r="BL63" i="7" s="1"/>
  <c r="BS60" i="7"/>
  <c r="BY62" i="7"/>
  <c r="BQ62" i="7" s="1"/>
  <c r="T63" i="7"/>
  <c r="L63" i="7" s="1"/>
  <c r="V58" i="22"/>
  <c r="CR62" i="7"/>
  <c r="CK62" i="7" s="1"/>
  <c r="AM62" i="7"/>
  <c r="AF62" i="7" s="1"/>
  <c r="P59" i="22"/>
  <c r="Q60" i="22"/>
  <c r="CA63" i="7"/>
  <c r="CC63" i="7"/>
  <c r="CD63" i="7" s="1"/>
  <c r="CE63" i="7" s="1"/>
  <c r="CB64" i="7"/>
  <c r="D65" i="7"/>
  <c r="C64" i="7"/>
  <c r="E64" i="7"/>
  <c r="F64" i="7" s="1"/>
  <c r="G64" i="7" s="1"/>
  <c r="V63" i="7"/>
  <c r="W64" i="7"/>
  <c r="X63" i="7"/>
  <c r="Y63" i="7" s="1"/>
  <c r="Z63" i="7" s="1"/>
  <c r="N61" i="7"/>
  <c r="A54" i="27" l="1"/>
  <c r="D56" i="28"/>
  <c r="B56" i="28"/>
  <c r="C57" i="28"/>
  <c r="K53" i="27"/>
  <c r="G53" i="27"/>
  <c r="F53" i="27"/>
  <c r="I53" i="27"/>
  <c r="H53" i="27"/>
  <c r="N62" i="7"/>
  <c r="N63" i="7" s="1"/>
  <c r="H6" i="7"/>
  <c r="BS61" i="7"/>
  <c r="BS62" i="7" s="1"/>
  <c r="BR62" i="7"/>
  <c r="BV62" i="7" s="1"/>
  <c r="BW62" i="7" s="1"/>
  <c r="O62" i="7"/>
  <c r="AE62" i="7"/>
  <c r="AJ62" i="7" s="1"/>
  <c r="AK62" i="7" s="1"/>
  <c r="BI65" i="7"/>
  <c r="BJ64" i="7"/>
  <c r="BK64" i="7" s="1"/>
  <c r="BL64" i="7" s="1"/>
  <c r="BH64" i="7"/>
  <c r="V59" i="22"/>
  <c r="M63" i="7"/>
  <c r="Q63" i="7" s="1"/>
  <c r="R63" i="7" s="1"/>
  <c r="AX63" i="7"/>
  <c r="BM6" i="7"/>
  <c r="P17" i="26" s="1"/>
  <c r="BT62" i="7"/>
  <c r="BF64" i="7"/>
  <c r="AY64" i="7" s="1"/>
  <c r="P60" i="22"/>
  <c r="Q61" i="22"/>
  <c r="CJ62" i="7"/>
  <c r="AO65" i="7"/>
  <c r="AP66" i="7"/>
  <c r="AQ65" i="7"/>
  <c r="AR65" i="7" s="1"/>
  <c r="AS65" i="7" s="1"/>
  <c r="AM63" i="7"/>
  <c r="AE63" i="7" s="1"/>
  <c r="T64" i="7"/>
  <c r="L64" i="7" s="1"/>
  <c r="C65" i="7"/>
  <c r="D66" i="7"/>
  <c r="E65" i="7"/>
  <c r="F65" i="7" s="1"/>
  <c r="G65" i="7" s="1"/>
  <c r="CB65" i="7"/>
  <c r="CC64" i="7"/>
  <c r="CD64" i="7" s="1"/>
  <c r="CE64" i="7" s="1"/>
  <c r="CA64" i="7"/>
  <c r="W58" i="22"/>
  <c r="X58" i="22" s="1"/>
  <c r="CR63" i="7"/>
  <c r="CK63" i="7" s="1"/>
  <c r="X64" i="7"/>
  <c r="Y64" i="7" s="1"/>
  <c r="Z64" i="7" s="1"/>
  <c r="W65" i="7"/>
  <c r="V64" i="7"/>
  <c r="BY63" i="7"/>
  <c r="BQ63" i="7" s="1"/>
  <c r="A55" i="27" l="1"/>
  <c r="B57" i="28"/>
  <c r="C58" i="28"/>
  <c r="D57" i="28"/>
  <c r="K54" i="27"/>
  <c r="H54" i="27"/>
  <c r="F54" i="27"/>
  <c r="I54" i="27"/>
  <c r="G54" i="27"/>
  <c r="AA6" i="7"/>
  <c r="P15" i="26" s="1"/>
  <c r="AH62" i="7"/>
  <c r="AG62" i="7"/>
  <c r="AG63" i="7" s="1"/>
  <c r="M64" i="7"/>
  <c r="Q64" i="7" s="1"/>
  <c r="R64" i="7" s="1"/>
  <c r="AX64" i="7"/>
  <c r="BC64" i="7" s="1"/>
  <c r="AM64" i="7"/>
  <c r="AE64" i="7" s="1"/>
  <c r="X59" i="22"/>
  <c r="W59" i="22"/>
  <c r="CR64" i="7"/>
  <c r="CJ64" i="7" s="1"/>
  <c r="CC65" i="7"/>
  <c r="CD65" i="7" s="1"/>
  <c r="CE65" i="7" s="1"/>
  <c r="CA65" i="7"/>
  <c r="CB66" i="7"/>
  <c r="AF63" i="7"/>
  <c r="AJ63" i="7" s="1"/>
  <c r="AK63" i="7" s="1"/>
  <c r="CF6" i="7"/>
  <c r="P18" i="26" s="1"/>
  <c r="CM62" i="7"/>
  <c r="CL62" i="7"/>
  <c r="BY64" i="7"/>
  <c r="BQ64" i="7" s="1"/>
  <c r="BI66" i="7"/>
  <c r="BJ65" i="7"/>
  <c r="BK65" i="7" s="1"/>
  <c r="BL65" i="7" s="1"/>
  <c r="BH65" i="7"/>
  <c r="CJ63" i="7"/>
  <c r="BR63" i="7"/>
  <c r="BV63" i="7" s="1"/>
  <c r="BW63" i="7" s="1"/>
  <c r="T65" i="7"/>
  <c r="M65" i="7" s="1"/>
  <c r="P61" i="22"/>
  <c r="Q62" i="22"/>
  <c r="CO62" i="7"/>
  <c r="CP62" i="7" s="1"/>
  <c r="N64" i="7"/>
  <c r="D67" i="7"/>
  <c r="E66" i="7"/>
  <c r="F66" i="7" s="1"/>
  <c r="G66" i="7" s="1"/>
  <c r="C66" i="7"/>
  <c r="V60" i="22"/>
  <c r="BS63" i="7"/>
  <c r="BF65" i="7"/>
  <c r="AY65" i="7" s="1"/>
  <c r="X65" i="7"/>
  <c r="Y65" i="7" s="1"/>
  <c r="Z65" i="7" s="1"/>
  <c r="V65" i="7"/>
  <c r="W66" i="7"/>
  <c r="AQ66" i="7"/>
  <c r="AR66" i="7" s="1"/>
  <c r="AS66" i="7" s="1"/>
  <c r="AO66" i="7"/>
  <c r="AP67" i="7"/>
  <c r="AZ63" i="7"/>
  <c r="BC63" i="7"/>
  <c r="BD63" i="7" s="1"/>
  <c r="A56" i="27" l="1"/>
  <c r="C59" i="28"/>
  <c r="D58" i="28"/>
  <c r="B58" i="28"/>
  <c r="K55" i="27"/>
  <c r="G55" i="27"/>
  <c r="F55" i="27"/>
  <c r="I55" i="27"/>
  <c r="H55" i="27"/>
  <c r="AZ64" i="7"/>
  <c r="L65" i="7"/>
  <c r="N65" i="7" s="1"/>
  <c r="CK64" i="7"/>
  <c r="CO64" i="7" s="1"/>
  <c r="AF64" i="7"/>
  <c r="AJ64" i="7" s="1"/>
  <c r="AK64" i="7" s="1"/>
  <c r="BF66" i="7"/>
  <c r="AY66" i="7" s="1"/>
  <c r="BS64" i="7"/>
  <c r="BR64" i="7"/>
  <c r="BV64" i="7" s="1"/>
  <c r="BW64" i="7" s="1"/>
  <c r="CR65" i="7"/>
  <c r="CJ65" i="7" s="1"/>
  <c r="W67" i="7"/>
  <c r="V66" i="7"/>
  <c r="X66" i="7"/>
  <c r="Y66" i="7" s="1"/>
  <c r="Z66" i="7" s="1"/>
  <c r="CL63" i="7"/>
  <c r="CL64" i="7" s="1"/>
  <c r="AG64" i="7"/>
  <c r="W60" i="22"/>
  <c r="X60" i="22" s="1"/>
  <c r="V61" i="22"/>
  <c r="BY65" i="7"/>
  <c r="BQ65" i="7" s="1"/>
  <c r="T66" i="7"/>
  <c r="M66" i="7" s="1"/>
  <c r="BJ66" i="7"/>
  <c r="BK66" i="7" s="1"/>
  <c r="BL66" i="7" s="1"/>
  <c r="BI67" i="7"/>
  <c r="BH66" i="7"/>
  <c r="CO63" i="7"/>
  <c r="CP63" i="7" s="1"/>
  <c r="P62" i="22"/>
  <c r="Q63" i="22"/>
  <c r="C67" i="7"/>
  <c r="D68" i="7"/>
  <c r="E67" i="7"/>
  <c r="F67" i="7" s="1"/>
  <c r="G67" i="7" s="1"/>
  <c r="BD64" i="7"/>
  <c r="AM65" i="7"/>
  <c r="AF65" i="7" s="1"/>
  <c r="AX65" i="7"/>
  <c r="BC65" i="7" s="1"/>
  <c r="BD65" i="7" s="1"/>
  <c r="CC66" i="7"/>
  <c r="CD66" i="7" s="1"/>
  <c r="CE66" i="7" s="1"/>
  <c r="CA66" i="7"/>
  <c r="CB67" i="7"/>
  <c r="AP68" i="7"/>
  <c r="AQ67" i="7"/>
  <c r="AR67" i="7" s="1"/>
  <c r="AS67" i="7" s="1"/>
  <c r="AO67" i="7"/>
  <c r="A57" i="27" l="1"/>
  <c r="D59" i="28"/>
  <c r="B59" i="28"/>
  <c r="C60" i="28"/>
  <c r="K56" i="27"/>
  <c r="H56" i="27"/>
  <c r="F56" i="27"/>
  <c r="G56" i="27"/>
  <c r="I56" i="27"/>
  <c r="Q65" i="7"/>
  <c r="R65" i="7" s="1"/>
  <c r="CK65" i="7"/>
  <c r="CO65" i="7" s="1"/>
  <c r="CP65" i="7" s="1"/>
  <c r="BR65" i="7"/>
  <c r="BV65" i="7" s="1"/>
  <c r="BW65" i="7" s="1"/>
  <c r="AZ65" i="7"/>
  <c r="BJ67" i="7"/>
  <c r="BK67" i="7" s="1"/>
  <c r="BL67" i="7" s="1"/>
  <c r="BH67" i="7"/>
  <c r="BI68" i="7"/>
  <c r="CL65" i="7"/>
  <c r="BS65" i="7"/>
  <c r="AM66" i="7"/>
  <c r="AF66" i="7" s="1"/>
  <c r="AQ68" i="7"/>
  <c r="AR68" i="7" s="1"/>
  <c r="AS68" i="7" s="1"/>
  <c r="AP69" i="7"/>
  <c r="AO68" i="7"/>
  <c r="AE65" i="7"/>
  <c r="AJ65" i="7" s="1"/>
  <c r="AK65" i="7" s="1"/>
  <c r="L66" i="7"/>
  <c r="N66" i="7" s="1"/>
  <c r="AX66" i="7"/>
  <c r="BC66" i="7" s="1"/>
  <c r="BD66" i="7" s="1"/>
  <c r="V62" i="22"/>
  <c r="W68" i="7"/>
  <c r="X67" i="7"/>
  <c r="Y67" i="7" s="1"/>
  <c r="Z67" i="7" s="1"/>
  <c r="V67" i="7"/>
  <c r="BY66" i="7"/>
  <c r="BR66" i="7" s="1"/>
  <c r="CB68" i="7"/>
  <c r="CA67" i="7"/>
  <c r="CC67" i="7"/>
  <c r="CD67" i="7" s="1"/>
  <c r="CE67" i="7" s="1"/>
  <c r="BF67" i="7"/>
  <c r="AY67" i="7" s="1"/>
  <c r="P63" i="22"/>
  <c r="Q64" i="22"/>
  <c r="W61" i="22"/>
  <c r="X61" i="22" s="1"/>
  <c r="CR66" i="7"/>
  <c r="CK66" i="7" s="1"/>
  <c r="T67" i="7"/>
  <c r="L67" i="7" s="1"/>
  <c r="E68" i="7"/>
  <c r="F68" i="7" s="1"/>
  <c r="G68" i="7" s="1"/>
  <c r="C68" i="7"/>
  <c r="D69" i="7"/>
  <c r="CP64" i="7"/>
  <c r="A58" i="27" l="1"/>
  <c r="D60" i="28"/>
  <c r="C61" i="28"/>
  <c r="B60" i="28"/>
  <c r="K57" i="27"/>
  <c r="F57" i="27"/>
  <c r="I57" i="27"/>
  <c r="H57" i="27"/>
  <c r="G57" i="27"/>
  <c r="AE66" i="7"/>
  <c r="AJ66" i="7" s="1"/>
  <c r="AK66" i="7" s="1"/>
  <c r="AG65" i="7"/>
  <c r="AZ66" i="7"/>
  <c r="CR67" i="7"/>
  <c r="CJ67" i="7" s="1"/>
  <c r="V68" i="7"/>
  <c r="X68" i="7"/>
  <c r="Y68" i="7" s="1"/>
  <c r="Z68" i="7" s="1"/>
  <c r="W69" i="7"/>
  <c r="BF68" i="7"/>
  <c r="AX68" i="7" s="1"/>
  <c r="BY67" i="7"/>
  <c r="BR67" i="7" s="1"/>
  <c r="CB69" i="7"/>
  <c r="CC68" i="7"/>
  <c r="CD68" i="7" s="1"/>
  <c r="CE68" i="7" s="1"/>
  <c r="CA68" i="7"/>
  <c r="W62" i="22"/>
  <c r="X62" i="22" s="1"/>
  <c r="D70" i="7"/>
  <c r="E69" i="7"/>
  <c r="F69" i="7" s="1"/>
  <c r="G69" i="7" s="1"/>
  <c r="C69" i="7"/>
  <c r="M67" i="7"/>
  <c r="Q67" i="7" s="1"/>
  <c r="V63" i="22"/>
  <c r="BQ66" i="7"/>
  <c r="BV66" i="7" s="1"/>
  <c r="BW66" i="7" s="1"/>
  <c r="P64" i="22"/>
  <c r="Q65" i="22"/>
  <c r="CJ66" i="7"/>
  <c r="CO66" i="7" s="1"/>
  <c r="CP66" i="7" s="1"/>
  <c r="N67" i="7"/>
  <c r="T68" i="7"/>
  <c r="L68" i="7" s="1"/>
  <c r="AX67" i="7"/>
  <c r="Q66" i="7"/>
  <c r="R66" i="7" s="1"/>
  <c r="BJ68" i="7"/>
  <c r="BK68" i="7" s="1"/>
  <c r="BL68" i="7" s="1"/>
  <c r="BH68" i="7"/>
  <c r="BI69" i="7"/>
  <c r="AM67" i="7"/>
  <c r="AF67" i="7" s="1"/>
  <c r="AP70" i="7"/>
  <c r="AO69" i="7"/>
  <c r="AQ69" i="7"/>
  <c r="AR69" i="7" s="1"/>
  <c r="AS69" i="7" s="1"/>
  <c r="A59" i="27" l="1"/>
  <c r="C62" i="28"/>
  <c r="D61" i="28"/>
  <c r="B61" i="28"/>
  <c r="K58" i="27"/>
  <c r="H58" i="27"/>
  <c r="I58" i="27"/>
  <c r="G58" i="27"/>
  <c r="F58" i="27"/>
  <c r="M68" i="7"/>
  <c r="Q68" i="7" s="1"/>
  <c r="R68" i="7" s="1"/>
  <c r="AG66" i="7"/>
  <c r="R67" i="7"/>
  <c r="BQ67" i="7"/>
  <c r="BV67" i="7" s="1"/>
  <c r="BW67" i="7" s="1"/>
  <c r="AY68" i="7"/>
  <c r="BC68" i="7" s="1"/>
  <c r="AE67" i="7"/>
  <c r="AJ67" i="7" s="1"/>
  <c r="AK67" i="7" s="1"/>
  <c r="CL66" i="7"/>
  <c r="CL67" i="7" s="1"/>
  <c r="CA69" i="7"/>
  <c r="CC69" i="7"/>
  <c r="CD69" i="7" s="1"/>
  <c r="CE69" i="7" s="1"/>
  <c r="CB70" i="7"/>
  <c r="AM68" i="7"/>
  <c r="AE68" i="7" s="1"/>
  <c r="P65" i="22"/>
  <c r="Q66" i="22"/>
  <c r="V64" i="22"/>
  <c r="E70" i="7"/>
  <c r="F70" i="7" s="1"/>
  <c r="G70" i="7" s="1"/>
  <c r="C70" i="7"/>
  <c r="D71" i="7"/>
  <c r="CK67" i="7"/>
  <c r="CO67" i="7" s="1"/>
  <c r="CP67" i="7" s="1"/>
  <c r="BH69" i="7"/>
  <c r="BI70" i="7"/>
  <c r="BJ69" i="7"/>
  <c r="BK69" i="7" s="1"/>
  <c r="BL69" i="7" s="1"/>
  <c r="BF69" i="7"/>
  <c r="AY69" i="7" s="1"/>
  <c r="T69" i="7"/>
  <c r="M69" i="7" s="1"/>
  <c r="BY68" i="7"/>
  <c r="BR68" i="7" s="1"/>
  <c r="AZ67" i="7"/>
  <c r="AZ68" i="7" s="1"/>
  <c r="AP71" i="7"/>
  <c r="AQ70" i="7"/>
  <c r="AR70" i="7" s="1"/>
  <c r="AS70" i="7" s="1"/>
  <c r="AO70" i="7"/>
  <c r="BS66" i="7"/>
  <c r="W63" i="22"/>
  <c r="X63" i="22" s="1"/>
  <c r="BC67" i="7"/>
  <c r="BD67" i="7" s="1"/>
  <c r="N68" i="7"/>
  <c r="CR68" i="7"/>
  <c r="CJ68" i="7" s="1"/>
  <c r="W70" i="7"/>
  <c r="X69" i="7"/>
  <c r="Y69" i="7" s="1"/>
  <c r="Z69" i="7" s="1"/>
  <c r="V69" i="7"/>
  <c r="A60" i="27" l="1"/>
  <c r="B62" i="28"/>
  <c r="C63" i="28"/>
  <c r="D62" i="28"/>
  <c r="K59" i="27"/>
  <c r="I59" i="27"/>
  <c r="H59" i="27"/>
  <c r="F59" i="27"/>
  <c r="G59" i="27"/>
  <c r="AG67" i="7"/>
  <c r="AG68" i="7" s="1"/>
  <c r="BS67" i="7"/>
  <c r="BQ68" i="7"/>
  <c r="BV68" i="7" s="1"/>
  <c r="BW68" i="7" s="1"/>
  <c r="AX69" i="7"/>
  <c r="BC69" i="7" s="1"/>
  <c r="BD69" i="7" s="1"/>
  <c r="AM69" i="7"/>
  <c r="AF69" i="7" s="1"/>
  <c r="T70" i="7"/>
  <c r="L70" i="7" s="1"/>
  <c r="AF68" i="7"/>
  <c r="AJ68" i="7" s="1"/>
  <c r="AK68" i="7" s="1"/>
  <c r="BD68" i="7"/>
  <c r="CK68" i="7"/>
  <c r="CO68" i="7" s="1"/>
  <c r="CP68" i="7" s="1"/>
  <c r="W64" i="22"/>
  <c r="X64" i="22" s="1"/>
  <c r="X70" i="7"/>
  <c r="Y70" i="7" s="1"/>
  <c r="Z70" i="7" s="1"/>
  <c r="V70" i="7"/>
  <c r="W71" i="7"/>
  <c r="BY69" i="7"/>
  <c r="BR69" i="7" s="1"/>
  <c r="BI71" i="7"/>
  <c r="BJ70" i="7"/>
  <c r="BK70" i="7" s="1"/>
  <c r="BL70" i="7" s="1"/>
  <c r="BH70" i="7"/>
  <c r="P66" i="22"/>
  <c r="Q67" i="22"/>
  <c r="CA70" i="7"/>
  <c r="CB71" i="7"/>
  <c r="CC70" i="7"/>
  <c r="CD70" i="7" s="1"/>
  <c r="CE70" i="7" s="1"/>
  <c r="L69" i="7"/>
  <c r="Q69" i="7" s="1"/>
  <c r="R69" i="7" s="1"/>
  <c r="CR69" i="7"/>
  <c r="CJ69" i="7" s="1"/>
  <c r="BF70" i="7"/>
  <c r="AY70" i="7" s="1"/>
  <c r="V65" i="22"/>
  <c r="CL68" i="7"/>
  <c r="AO71" i="7"/>
  <c r="AQ71" i="7"/>
  <c r="AR71" i="7" s="1"/>
  <c r="AS71" i="7" s="1"/>
  <c r="AP72" i="7"/>
  <c r="D72" i="7"/>
  <c r="C71" i="7"/>
  <c r="E71" i="7"/>
  <c r="F71" i="7" s="1"/>
  <c r="G71" i="7" s="1"/>
  <c r="A61" i="27" l="1"/>
  <c r="C64" i="28"/>
  <c r="D63" i="28"/>
  <c r="B63" i="28"/>
  <c r="K60" i="27"/>
  <c r="H60" i="27"/>
  <c r="I60" i="27"/>
  <c r="G60" i="27"/>
  <c r="F60" i="27"/>
  <c r="BS68" i="7"/>
  <c r="AZ69" i="7"/>
  <c r="AX70" i="7"/>
  <c r="BC70" i="7" s="1"/>
  <c r="BD70" i="7" s="1"/>
  <c r="BQ69" i="7"/>
  <c r="BV69" i="7" s="1"/>
  <c r="BW69" i="7" s="1"/>
  <c r="M70" i="7"/>
  <c r="Q70" i="7" s="1"/>
  <c r="R70" i="7" s="1"/>
  <c r="BY70" i="7"/>
  <c r="BQ70" i="7" s="1"/>
  <c r="AM70" i="7"/>
  <c r="AF70" i="7" s="1"/>
  <c r="BJ71" i="7"/>
  <c r="BK71" i="7" s="1"/>
  <c r="BL71" i="7" s="1"/>
  <c r="BI72" i="7"/>
  <c r="BH71" i="7"/>
  <c r="W65" i="22"/>
  <c r="X65" i="22"/>
  <c r="BF71" i="7"/>
  <c r="AX71" i="7" s="1"/>
  <c r="AP73" i="7"/>
  <c r="AQ72" i="7"/>
  <c r="AR72" i="7" s="1"/>
  <c r="AS72" i="7" s="1"/>
  <c r="AO72" i="7"/>
  <c r="AE69" i="7"/>
  <c r="AJ69" i="7" s="1"/>
  <c r="AK69" i="7" s="1"/>
  <c r="D73" i="7"/>
  <c r="E72" i="7"/>
  <c r="F72" i="7" s="1"/>
  <c r="G72" i="7" s="1"/>
  <c r="C72" i="7"/>
  <c r="CC71" i="7"/>
  <c r="CD71" i="7" s="1"/>
  <c r="CE71" i="7" s="1"/>
  <c r="CA71" i="7"/>
  <c r="CB72" i="7"/>
  <c r="P67" i="22"/>
  <c r="Q68" i="22"/>
  <c r="CL69" i="7"/>
  <c r="CK69" i="7"/>
  <c r="CO69" i="7" s="1"/>
  <c r="CP69" i="7" s="1"/>
  <c r="V66" i="22"/>
  <c r="CR70" i="7"/>
  <c r="CJ70" i="7" s="1"/>
  <c r="N69" i="7"/>
  <c r="N70" i="7" s="1"/>
  <c r="T71" i="7"/>
  <c r="L71" i="7" s="1"/>
  <c r="V71" i="7"/>
  <c r="X71" i="7"/>
  <c r="Y71" i="7" s="1"/>
  <c r="Z71" i="7" s="1"/>
  <c r="W72" i="7"/>
  <c r="AZ70" i="7" l="1"/>
  <c r="AZ71" i="7" s="1"/>
  <c r="A62" i="27"/>
  <c r="D64" i="28"/>
  <c r="B64" i="28"/>
  <c r="C65" i="28"/>
  <c r="K61" i="27"/>
  <c r="I61" i="27"/>
  <c r="H61" i="27"/>
  <c r="G61" i="27"/>
  <c r="F61" i="27"/>
  <c r="BS69" i="7"/>
  <c r="BS70" i="7" s="1"/>
  <c r="CK70" i="7"/>
  <c r="CO70" i="7" s="1"/>
  <c r="CP70" i="7" s="1"/>
  <c r="AG69" i="7"/>
  <c r="AY71" i="7"/>
  <c r="BC71" i="7" s="1"/>
  <c r="BD71" i="7" s="1"/>
  <c r="BR70" i="7"/>
  <c r="BV70" i="7" s="1"/>
  <c r="BW70" i="7" s="1"/>
  <c r="AM71" i="7"/>
  <c r="AE71" i="7" s="1"/>
  <c r="V67" i="22"/>
  <c r="AE70" i="7"/>
  <c r="AJ70" i="7" s="1"/>
  <c r="AK70" i="7" s="1"/>
  <c r="W73" i="7"/>
  <c r="X72" i="7"/>
  <c r="Y72" i="7" s="1"/>
  <c r="Z72" i="7" s="1"/>
  <c r="V72" i="7"/>
  <c r="C73" i="7"/>
  <c r="E73" i="7"/>
  <c r="F73" i="7" s="1"/>
  <c r="G73" i="7" s="1"/>
  <c r="D74" i="7"/>
  <c r="CA72" i="7"/>
  <c r="CB73" i="7"/>
  <c r="CC72" i="7"/>
  <c r="CD72" i="7" s="1"/>
  <c r="CE72" i="7" s="1"/>
  <c r="M71" i="7"/>
  <c r="Q71" i="7" s="1"/>
  <c r="R71" i="7" s="1"/>
  <c r="W66" i="22"/>
  <c r="X66" i="22" s="1"/>
  <c r="BF72" i="7"/>
  <c r="AX72" i="7" s="1"/>
  <c r="CR71" i="7"/>
  <c r="CK71" i="7" s="1"/>
  <c r="AQ73" i="7"/>
  <c r="AR73" i="7" s="1"/>
  <c r="AS73" i="7" s="1"/>
  <c r="AO73" i="7"/>
  <c r="AP74" i="7"/>
  <c r="CL70" i="7"/>
  <c r="BI73" i="7"/>
  <c r="BH72" i="7"/>
  <c r="BJ72" i="7"/>
  <c r="BK72" i="7" s="1"/>
  <c r="BL72" i="7" s="1"/>
  <c r="N71" i="7"/>
  <c r="P68" i="22"/>
  <c r="Q69" i="22"/>
  <c r="T72" i="7"/>
  <c r="L72" i="7" s="1"/>
  <c r="BY71" i="7"/>
  <c r="BR71" i="7" s="1"/>
  <c r="A63" i="27" l="1"/>
  <c r="B65" i="28"/>
  <c r="C66" i="28"/>
  <c r="D65" i="28"/>
  <c r="K62" i="27"/>
  <c r="I62" i="27"/>
  <c r="G62" i="27"/>
  <c r="F62" i="27"/>
  <c r="H62" i="27"/>
  <c r="AY72" i="7"/>
  <c r="BC72" i="7" s="1"/>
  <c r="BD72" i="7" s="1"/>
  <c r="CC73" i="7"/>
  <c r="CD73" i="7" s="1"/>
  <c r="CE73" i="7" s="1"/>
  <c r="CA73" i="7"/>
  <c r="CB74" i="7"/>
  <c r="X73" i="7"/>
  <c r="Y73" i="7" s="1"/>
  <c r="Z73" i="7" s="1"/>
  <c r="V73" i="7"/>
  <c r="W74" i="7"/>
  <c r="N72" i="7"/>
  <c r="AP75" i="7"/>
  <c r="AQ74" i="7"/>
  <c r="AR74" i="7" s="1"/>
  <c r="AS74" i="7" s="1"/>
  <c r="AO74" i="7"/>
  <c r="AZ72" i="7"/>
  <c r="W67" i="22"/>
  <c r="X67" i="22" s="1"/>
  <c r="M72" i="7"/>
  <c r="Q72" i="7" s="1"/>
  <c r="R72" i="7" s="1"/>
  <c r="BY72" i="7"/>
  <c r="BR72" i="7" s="1"/>
  <c r="C74" i="7"/>
  <c r="D75" i="7"/>
  <c r="E74" i="7"/>
  <c r="F74" i="7" s="1"/>
  <c r="G74" i="7" s="1"/>
  <c r="V68" i="22"/>
  <c r="BF73" i="7"/>
  <c r="AY73" i="7" s="1"/>
  <c r="T73" i="7"/>
  <c r="L73" i="7" s="1"/>
  <c r="AF71" i="7"/>
  <c r="AJ71" i="7" s="1"/>
  <c r="AK71" i="7" s="1"/>
  <c r="BQ71" i="7"/>
  <c r="BV71" i="7" s="1"/>
  <c r="BW71" i="7" s="1"/>
  <c r="BJ73" i="7"/>
  <c r="BK73" i="7" s="1"/>
  <c r="BL73" i="7" s="1"/>
  <c r="BH73" i="7"/>
  <c r="BI74" i="7"/>
  <c r="AG70" i="7"/>
  <c r="AG71" i="7" s="1"/>
  <c r="CJ71" i="7"/>
  <c r="CL71" i="7" s="1"/>
  <c r="P69" i="22"/>
  <c r="Q70" i="22"/>
  <c r="CR72" i="7"/>
  <c r="CK72" i="7" s="1"/>
  <c r="AM72" i="7"/>
  <c r="AE72" i="7" s="1"/>
  <c r="A64" i="27" l="1"/>
  <c r="C67" i="28"/>
  <c r="D66" i="28"/>
  <c r="B66" i="28"/>
  <c r="K63" i="27"/>
  <c r="H63" i="27"/>
  <c r="I63" i="27"/>
  <c r="G63" i="27"/>
  <c r="F63" i="27"/>
  <c r="BQ72" i="7"/>
  <c r="BV72" i="7" s="1"/>
  <c r="BW72" i="7" s="1"/>
  <c r="AX73" i="7"/>
  <c r="BC73" i="7" s="1"/>
  <c r="BD73" i="7" s="1"/>
  <c r="CJ72" i="7"/>
  <c r="CO72" i="7" s="1"/>
  <c r="M73" i="7"/>
  <c r="Q73" i="7" s="1"/>
  <c r="R73" i="7" s="1"/>
  <c r="T74" i="7"/>
  <c r="L74" i="7" s="1"/>
  <c r="E75" i="7"/>
  <c r="F75" i="7" s="1"/>
  <c r="G75" i="7" s="1"/>
  <c r="D76" i="7"/>
  <c r="C75" i="7"/>
  <c r="AM73" i="7"/>
  <c r="AF73" i="7" s="1"/>
  <c r="AG72" i="7"/>
  <c r="CB75" i="7"/>
  <c r="CC74" i="7"/>
  <c r="CD74" i="7" s="1"/>
  <c r="CE74" i="7" s="1"/>
  <c r="CA74" i="7"/>
  <c r="X74" i="7"/>
  <c r="Y74" i="7" s="1"/>
  <c r="Z74" i="7" s="1"/>
  <c r="W75" i="7"/>
  <c r="V74" i="7"/>
  <c r="BF74" i="7"/>
  <c r="AY74" i="7" s="1"/>
  <c r="AF72" i="7"/>
  <c r="AJ72" i="7" s="1"/>
  <c r="AK72" i="7" s="1"/>
  <c r="AP76" i="7"/>
  <c r="AO75" i="7"/>
  <c r="AQ75" i="7"/>
  <c r="AR75" i="7" s="1"/>
  <c r="AS75" i="7" s="1"/>
  <c r="CR73" i="7"/>
  <c r="CK73" i="7" s="1"/>
  <c r="V69" i="22"/>
  <c r="P70" i="22"/>
  <c r="Q71" i="22"/>
  <c r="BY73" i="7"/>
  <c r="BR73" i="7" s="1"/>
  <c r="N73" i="7"/>
  <c r="CO71" i="7"/>
  <c r="CP71" i="7" s="1"/>
  <c r="BJ74" i="7"/>
  <c r="BK74" i="7" s="1"/>
  <c r="BL74" i="7" s="1"/>
  <c r="BI75" i="7"/>
  <c r="BH74" i="7"/>
  <c r="W68" i="22"/>
  <c r="X68" i="22" s="1"/>
  <c r="BS71" i="7"/>
  <c r="BS72" i="7" l="1"/>
  <c r="A65" i="27"/>
  <c r="D67" i="28"/>
  <c r="B67" i="28"/>
  <c r="C68" i="28"/>
  <c r="K64" i="27"/>
  <c r="F64" i="27"/>
  <c r="I64" i="27"/>
  <c r="G64" i="27"/>
  <c r="H64" i="27"/>
  <c r="AX74" i="7"/>
  <c r="BC74" i="7" s="1"/>
  <c r="BD74" i="7" s="1"/>
  <c r="AZ73" i="7"/>
  <c r="AE73" i="7"/>
  <c r="AJ73" i="7" s="1"/>
  <c r="AK73" i="7" s="1"/>
  <c r="CL72" i="7"/>
  <c r="H7" i="7"/>
  <c r="O74" i="7"/>
  <c r="CR74" i="7"/>
  <c r="CK74" i="7" s="1"/>
  <c r="BQ73" i="7"/>
  <c r="BV73" i="7" s="1"/>
  <c r="BW73" i="7" s="1"/>
  <c r="CJ73" i="7"/>
  <c r="CB76" i="7"/>
  <c r="CC75" i="7"/>
  <c r="CD75" i="7" s="1"/>
  <c r="CE75" i="7" s="1"/>
  <c r="CA75" i="7"/>
  <c r="D77" i="7"/>
  <c r="C76" i="7"/>
  <c r="E76" i="7"/>
  <c r="F76" i="7" s="1"/>
  <c r="G76" i="7" s="1"/>
  <c r="W69" i="22"/>
  <c r="X69" i="22" s="1"/>
  <c r="T75" i="7"/>
  <c r="M75" i="7" s="1"/>
  <c r="P71" i="22"/>
  <c r="Q72" i="22"/>
  <c r="BJ75" i="7"/>
  <c r="BK75" i="7" s="1"/>
  <c r="BL75" i="7" s="1"/>
  <c r="BH75" i="7"/>
  <c r="BI76" i="7"/>
  <c r="CP72" i="7"/>
  <c r="M74" i="7"/>
  <c r="Q74" i="7" s="1"/>
  <c r="R74" i="7" s="1"/>
  <c r="BY74" i="7"/>
  <c r="BQ74" i="7" s="1"/>
  <c r="V70" i="22"/>
  <c r="BF75" i="7"/>
  <c r="AX75" i="7" s="1"/>
  <c r="W76" i="7"/>
  <c r="V75" i="7"/>
  <c r="X75" i="7"/>
  <c r="Y75" i="7" s="1"/>
  <c r="Z75" i="7" s="1"/>
  <c r="N74" i="7"/>
  <c r="AP77" i="7"/>
  <c r="AQ76" i="7"/>
  <c r="AR76" i="7" s="1"/>
  <c r="AS76" i="7" s="1"/>
  <c r="AO76" i="7"/>
  <c r="AM74" i="7"/>
  <c r="AE74" i="7" s="1"/>
  <c r="A66" i="27" l="1"/>
  <c r="C69" i="28"/>
  <c r="D68" i="28"/>
  <c r="B68" i="28"/>
  <c r="K65" i="27"/>
  <c r="G65" i="27"/>
  <c r="F65" i="27"/>
  <c r="I65" i="27"/>
  <c r="H65" i="27"/>
  <c r="AG73" i="7"/>
  <c r="AG74" i="7" s="1"/>
  <c r="BA74" i="7"/>
  <c r="AT7" i="7"/>
  <c r="AZ74" i="7"/>
  <c r="AZ75" i="7" s="1"/>
  <c r="AF74" i="7"/>
  <c r="AJ74" i="7" s="1"/>
  <c r="AK74" i="7" s="1"/>
  <c r="L75" i="7"/>
  <c r="Q75" i="7" s="1"/>
  <c r="R75" i="7" s="1"/>
  <c r="AY75" i="7"/>
  <c r="BC75" i="7" s="1"/>
  <c r="BD75" i="7" s="1"/>
  <c r="CL73" i="7"/>
  <c r="BR74" i="7"/>
  <c r="BV74" i="7" s="1"/>
  <c r="BW74" i="7" s="1"/>
  <c r="CJ74" i="7"/>
  <c r="CF7" i="7" s="1"/>
  <c r="BM7" i="7"/>
  <c r="BT74" i="7"/>
  <c r="BJ76" i="7"/>
  <c r="BK76" i="7" s="1"/>
  <c r="BL76" i="7" s="1"/>
  <c r="BI77" i="7"/>
  <c r="BH76" i="7"/>
  <c r="BF76" i="7"/>
  <c r="AX76" i="7" s="1"/>
  <c r="CR75" i="7"/>
  <c r="CJ75" i="7" s="1"/>
  <c r="W70" i="22"/>
  <c r="X70" i="22" s="1"/>
  <c r="BY75" i="7"/>
  <c r="BR75" i="7" s="1"/>
  <c r="CA76" i="7"/>
  <c r="CC76" i="7"/>
  <c r="CD76" i="7" s="1"/>
  <c r="CE76" i="7" s="1"/>
  <c r="CB77" i="7"/>
  <c r="AQ77" i="7"/>
  <c r="AR77" i="7" s="1"/>
  <c r="AS77" i="7" s="1"/>
  <c r="AO77" i="7"/>
  <c r="AP78" i="7"/>
  <c r="AA7" i="7"/>
  <c r="AH74" i="7"/>
  <c r="BS73" i="7"/>
  <c r="BS74" i="7" s="1"/>
  <c r="AM75" i="7"/>
  <c r="AF75" i="7" s="1"/>
  <c r="P72" i="22"/>
  <c r="Q73" i="22"/>
  <c r="D78" i="7"/>
  <c r="C77" i="7"/>
  <c r="E77" i="7"/>
  <c r="F77" i="7" s="1"/>
  <c r="G77" i="7" s="1"/>
  <c r="CO73" i="7"/>
  <c r="CP73" i="7" s="1"/>
  <c r="V76" i="7"/>
  <c r="X76" i="7"/>
  <c r="Y76" i="7" s="1"/>
  <c r="Z76" i="7" s="1"/>
  <c r="W77" i="7"/>
  <c r="V71" i="22"/>
  <c r="T76" i="7"/>
  <c r="L76" i="7" s="1"/>
  <c r="Y51" i="22" l="1"/>
  <c r="Y52" i="22"/>
  <c r="Y53" i="22"/>
  <c r="Y54" i="22"/>
  <c r="Y55" i="22"/>
  <c r="Y56" i="22"/>
  <c r="Y57" i="22"/>
  <c r="Y58" i="22"/>
  <c r="Y59" i="22"/>
  <c r="Y60" i="22"/>
  <c r="Y61" i="22"/>
  <c r="Y62" i="22"/>
  <c r="Y63" i="22"/>
  <c r="Y64" i="22"/>
  <c r="Y65" i="22"/>
  <c r="Y66" i="22"/>
  <c r="Y67" i="22"/>
  <c r="Y68" i="22"/>
  <c r="Y70" i="22"/>
  <c r="Y69" i="22"/>
  <c r="A67" i="27"/>
  <c r="C70" i="28"/>
  <c r="D69" i="28"/>
  <c r="B69" i="28"/>
  <c r="K66" i="27"/>
  <c r="I66" i="27"/>
  <c r="G66" i="27"/>
  <c r="F66" i="27"/>
  <c r="H66" i="27"/>
  <c r="N75" i="7"/>
  <c r="N76" i="7" s="1"/>
  <c r="CL74" i="7"/>
  <c r="CL75" i="7" s="1"/>
  <c r="CO74" i="7"/>
  <c r="CP74" i="7" s="1"/>
  <c r="CM74" i="7"/>
  <c r="CK75" i="7"/>
  <c r="CO75" i="7" s="1"/>
  <c r="P73" i="22"/>
  <c r="Q74" i="22"/>
  <c r="BQ75" i="7"/>
  <c r="BV75" i="7" s="1"/>
  <c r="BW75" i="7" s="1"/>
  <c r="V72" i="22"/>
  <c r="AO78" i="7"/>
  <c r="AQ78" i="7"/>
  <c r="AR78" i="7" s="1"/>
  <c r="AS78" i="7" s="1"/>
  <c r="AP79" i="7"/>
  <c r="AY76" i="7"/>
  <c r="BC76" i="7" s="1"/>
  <c r="BD76" i="7" s="1"/>
  <c r="AM76" i="7"/>
  <c r="AF76" i="7" s="1"/>
  <c r="M76" i="7"/>
  <c r="Q76" i="7" s="1"/>
  <c r="R76" i="7" s="1"/>
  <c r="AZ76" i="7"/>
  <c r="AE75" i="7"/>
  <c r="BF77" i="7"/>
  <c r="AX77" i="7" s="1"/>
  <c r="T77" i="7"/>
  <c r="L77" i="7" s="1"/>
  <c r="CA77" i="7"/>
  <c r="CB78" i="7"/>
  <c r="CC77" i="7"/>
  <c r="CD77" i="7" s="1"/>
  <c r="CE77" i="7" s="1"/>
  <c r="W71" i="22"/>
  <c r="X71" i="22" s="1"/>
  <c r="CR76" i="7"/>
  <c r="CJ76" i="7" s="1"/>
  <c r="BI78" i="7"/>
  <c r="BJ77" i="7"/>
  <c r="BK77" i="7" s="1"/>
  <c r="BL77" i="7" s="1"/>
  <c r="BH77" i="7"/>
  <c r="X77" i="7"/>
  <c r="Y77" i="7" s="1"/>
  <c r="Z77" i="7" s="1"/>
  <c r="V77" i="7"/>
  <c r="W78" i="7"/>
  <c r="D79" i="7"/>
  <c r="E78" i="7"/>
  <c r="F78" i="7" s="1"/>
  <c r="G78" i="7" s="1"/>
  <c r="C78" i="7"/>
  <c r="BY76" i="7"/>
  <c r="BR76" i="7" s="1"/>
  <c r="Y71" i="22" l="1"/>
  <c r="A68" i="27"/>
  <c r="B70" i="28"/>
  <c r="C71" i="28"/>
  <c r="D70" i="28"/>
  <c r="K67" i="27"/>
  <c r="G67" i="27"/>
  <c r="F67" i="27"/>
  <c r="I67" i="27"/>
  <c r="H67" i="27"/>
  <c r="CP75" i="7"/>
  <c r="BS75" i="7"/>
  <c r="CK76" i="7"/>
  <c r="CO76" i="7" s="1"/>
  <c r="CP76" i="7" s="1"/>
  <c r="T78" i="7"/>
  <c r="L78" i="7" s="1"/>
  <c r="AO79" i="7"/>
  <c r="AP80" i="7"/>
  <c r="AQ79" i="7"/>
  <c r="AR79" i="7" s="1"/>
  <c r="AS79" i="7" s="1"/>
  <c r="V73" i="22"/>
  <c r="BQ76" i="7"/>
  <c r="M77" i="7"/>
  <c r="Q77" i="7" s="1"/>
  <c r="R77" i="7" s="1"/>
  <c r="AZ77" i="7"/>
  <c r="CL76" i="7"/>
  <c r="D80" i="7"/>
  <c r="E79" i="7"/>
  <c r="F79" i="7" s="1"/>
  <c r="G79" i="7" s="1"/>
  <c r="C79" i="7"/>
  <c r="AM77" i="7"/>
  <c r="AF77" i="7" s="1"/>
  <c r="W72" i="22"/>
  <c r="X72" i="22" s="1"/>
  <c r="BI79" i="7"/>
  <c r="BH78" i="7"/>
  <c r="BJ78" i="7"/>
  <c r="BK78" i="7" s="1"/>
  <c r="BL78" i="7" s="1"/>
  <c r="BF78" i="7"/>
  <c r="AY78" i="7" s="1"/>
  <c r="AG75" i="7"/>
  <c r="N77" i="7"/>
  <c r="X78" i="7"/>
  <c r="Y78" i="7" s="1"/>
  <c r="Z78" i="7" s="1"/>
  <c r="V78" i="7"/>
  <c r="W79" i="7"/>
  <c r="AY77" i="7"/>
  <c r="BC77" i="7" s="1"/>
  <c r="BD77" i="7" s="1"/>
  <c r="AE76" i="7"/>
  <c r="AJ75" i="7"/>
  <c r="AK75" i="7" s="1"/>
  <c r="BY77" i="7"/>
  <c r="BR77" i="7" s="1"/>
  <c r="CR77" i="7"/>
  <c r="CK77" i="7" s="1"/>
  <c r="P74" i="22"/>
  <c r="Q75" i="22"/>
  <c r="CC78" i="7"/>
  <c r="CD78" i="7" s="1"/>
  <c r="CE78" i="7" s="1"/>
  <c r="CA78" i="7"/>
  <c r="CB79" i="7"/>
  <c r="BS76" i="7" l="1"/>
  <c r="A69" i="27"/>
  <c r="C72" i="28"/>
  <c r="D71" i="28"/>
  <c r="B71" i="28"/>
  <c r="K68" i="27"/>
  <c r="H68" i="27"/>
  <c r="F68" i="27"/>
  <c r="I68" i="27"/>
  <c r="G68" i="27"/>
  <c r="M78" i="7"/>
  <c r="Q78" i="7" s="1"/>
  <c r="R78" i="7" s="1"/>
  <c r="AX78" i="7"/>
  <c r="BC78" i="7" s="1"/>
  <c r="BD78" i="7" s="1"/>
  <c r="CJ77" i="7"/>
  <c r="CO77" i="7" s="1"/>
  <c r="CP77" i="7" s="1"/>
  <c r="AE77" i="7"/>
  <c r="AJ77" i="7" s="1"/>
  <c r="W73" i="22"/>
  <c r="X73" i="22" s="1"/>
  <c r="BY78" i="7"/>
  <c r="BR78" i="7" s="1"/>
  <c r="BV76" i="7"/>
  <c r="BW76" i="7" s="1"/>
  <c r="T79" i="7"/>
  <c r="M79" i="7" s="1"/>
  <c r="BF79" i="7"/>
  <c r="AX79" i="7" s="1"/>
  <c r="AJ76" i="7"/>
  <c r="AK76" i="7" s="1"/>
  <c r="CB80" i="7"/>
  <c r="CC79" i="7"/>
  <c r="CD79" i="7" s="1"/>
  <c r="CE79" i="7" s="1"/>
  <c r="CA79" i="7"/>
  <c r="CR78" i="7"/>
  <c r="CJ78" i="7" s="1"/>
  <c r="AM78" i="7"/>
  <c r="AF78" i="7" s="1"/>
  <c r="BJ79" i="7"/>
  <c r="BK79" i="7" s="1"/>
  <c r="BL79" i="7" s="1"/>
  <c r="BI80" i="7"/>
  <c r="BH79" i="7"/>
  <c r="C80" i="7"/>
  <c r="D81" i="7"/>
  <c r="E80" i="7"/>
  <c r="F80" i="7" s="1"/>
  <c r="G80" i="7" s="1"/>
  <c r="AO80" i="7"/>
  <c r="AP81" i="7"/>
  <c r="AQ80" i="7"/>
  <c r="AR80" i="7" s="1"/>
  <c r="AS80" i="7" s="1"/>
  <c r="W80" i="7"/>
  <c r="X79" i="7"/>
  <c r="Y79" i="7" s="1"/>
  <c r="Z79" i="7" s="1"/>
  <c r="V79" i="7"/>
  <c r="BQ77" i="7"/>
  <c r="V74" i="22"/>
  <c r="N78" i="7"/>
  <c r="P75" i="22"/>
  <c r="Q76" i="22"/>
  <c r="AG76" i="7"/>
  <c r="A70" i="27" l="1"/>
  <c r="D72" i="28"/>
  <c r="B72" i="28"/>
  <c r="C73" i="28"/>
  <c r="K69" i="27"/>
  <c r="G69" i="27"/>
  <c r="F69" i="27"/>
  <c r="I69" i="27"/>
  <c r="H69" i="27"/>
  <c r="AZ78" i="7"/>
  <c r="AZ79" i="7" s="1"/>
  <c r="CL77" i="7"/>
  <c r="CL78" i="7" s="1"/>
  <c r="AG77" i="7"/>
  <c r="L79" i="7"/>
  <c r="Q79" i="7" s="1"/>
  <c r="R79" i="7" s="1"/>
  <c r="BQ78" i="7"/>
  <c r="BV78" i="7" s="1"/>
  <c r="AY79" i="7"/>
  <c r="BC79" i="7" s="1"/>
  <c r="BD79" i="7" s="1"/>
  <c r="AE78" i="7"/>
  <c r="AJ78" i="7" s="1"/>
  <c r="AK78" i="7" s="1"/>
  <c r="CK78" i="7"/>
  <c r="CO78" i="7" s="1"/>
  <c r="CP78" i="7" s="1"/>
  <c r="W81" i="7"/>
  <c r="X80" i="7"/>
  <c r="Y80" i="7" s="1"/>
  <c r="Z80" i="7" s="1"/>
  <c r="V80" i="7"/>
  <c r="BH80" i="7"/>
  <c r="BJ80" i="7"/>
  <c r="BK80" i="7" s="1"/>
  <c r="BL80" i="7" s="1"/>
  <c r="BI81" i="7"/>
  <c r="BS77" i="7"/>
  <c r="BY79" i="7"/>
  <c r="BQ79" i="7" s="1"/>
  <c r="CR79" i="7"/>
  <c r="CJ79" i="7" s="1"/>
  <c r="AP82" i="7"/>
  <c r="AQ81" i="7"/>
  <c r="AR81" i="7" s="1"/>
  <c r="AS81" i="7" s="1"/>
  <c r="AO81" i="7"/>
  <c r="CB81" i="7"/>
  <c r="CC80" i="7"/>
  <c r="CD80" i="7" s="1"/>
  <c r="CE80" i="7" s="1"/>
  <c r="CA80" i="7"/>
  <c r="BV77" i="7"/>
  <c r="BW77" i="7" s="1"/>
  <c r="BF80" i="7"/>
  <c r="AY80" i="7" s="1"/>
  <c r="AM79" i="7"/>
  <c r="AF79" i="7" s="1"/>
  <c r="W74" i="22"/>
  <c r="X74" i="22" s="1"/>
  <c r="T80" i="7"/>
  <c r="L80" i="7" s="1"/>
  <c r="AK77" i="7"/>
  <c r="V75" i="22"/>
  <c r="P76" i="22"/>
  <c r="Q77" i="22"/>
  <c r="E81" i="7"/>
  <c r="F81" i="7" s="1"/>
  <c r="G81" i="7" s="1"/>
  <c r="D82" i="7"/>
  <c r="C81" i="7"/>
  <c r="A71" i="27" l="1"/>
  <c r="B73" i="28"/>
  <c r="C74" i="28"/>
  <c r="D73" i="28"/>
  <c r="K70" i="27"/>
  <c r="F70" i="27"/>
  <c r="H70" i="27"/>
  <c r="I70" i="27"/>
  <c r="G70" i="27"/>
  <c r="N79" i="7"/>
  <c r="N80" i="7" s="1"/>
  <c r="AX80" i="7"/>
  <c r="AZ80" i="7" s="1"/>
  <c r="BS78" i="7"/>
  <c r="BS79" i="7" s="1"/>
  <c r="M80" i="7"/>
  <c r="Q80" i="7" s="1"/>
  <c r="R80" i="7" s="1"/>
  <c r="AE79" i="7"/>
  <c r="AJ79" i="7" s="1"/>
  <c r="AK79" i="7" s="1"/>
  <c r="CK79" i="7"/>
  <c r="CO79" i="7" s="1"/>
  <c r="CP79" i="7" s="1"/>
  <c r="BR79" i="7"/>
  <c r="BV79" i="7" s="1"/>
  <c r="BW79" i="7" s="1"/>
  <c r="AG78" i="7"/>
  <c r="CR80" i="7"/>
  <c r="CK80" i="7" s="1"/>
  <c r="P77" i="22"/>
  <c r="Q78" i="22"/>
  <c r="AM80" i="7"/>
  <c r="AF80" i="7" s="1"/>
  <c r="T81" i="7"/>
  <c r="M81" i="7" s="1"/>
  <c r="CA81" i="7"/>
  <c r="CB82" i="7"/>
  <c r="CC81" i="7"/>
  <c r="CD81" i="7" s="1"/>
  <c r="CE81" i="7" s="1"/>
  <c r="BF81" i="7"/>
  <c r="AY81" i="7" s="1"/>
  <c r="W82" i="7"/>
  <c r="V81" i="7"/>
  <c r="X81" i="7"/>
  <c r="Y81" i="7" s="1"/>
  <c r="Z81" i="7" s="1"/>
  <c r="AP83" i="7"/>
  <c r="AQ82" i="7"/>
  <c r="AR82" i="7" s="1"/>
  <c r="AS82" i="7" s="1"/>
  <c r="AO82" i="7"/>
  <c r="W75" i="22"/>
  <c r="X75" i="22" s="1"/>
  <c r="V76" i="22"/>
  <c r="CL79" i="7"/>
  <c r="BI82" i="7"/>
  <c r="BJ81" i="7"/>
  <c r="BK81" i="7" s="1"/>
  <c r="BL81" i="7" s="1"/>
  <c r="BH81" i="7"/>
  <c r="BW78" i="7"/>
  <c r="E82" i="7"/>
  <c r="F82" i="7" s="1"/>
  <c r="G82" i="7" s="1"/>
  <c r="C82" i="7"/>
  <c r="D83" i="7"/>
  <c r="BY80" i="7"/>
  <c r="BR80" i="7" s="1"/>
  <c r="A72" i="27" l="1"/>
  <c r="C75" i="28"/>
  <c r="D74" i="28"/>
  <c r="B74" i="28"/>
  <c r="K71" i="27"/>
  <c r="G71" i="27"/>
  <c r="F71" i="27"/>
  <c r="I71" i="27"/>
  <c r="H71" i="27"/>
  <c r="BC80" i="7"/>
  <c r="BD80" i="7" s="1"/>
  <c r="AG79" i="7"/>
  <c r="L81" i="7"/>
  <c r="Q81" i="7" s="1"/>
  <c r="R81" i="7" s="1"/>
  <c r="AX81" i="7"/>
  <c r="AZ81" i="7" s="1"/>
  <c r="CJ80" i="7"/>
  <c r="CO80" i="7" s="1"/>
  <c r="CP80" i="7" s="1"/>
  <c r="BQ80" i="7"/>
  <c r="BV80" i="7" s="1"/>
  <c r="BW80" i="7" s="1"/>
  <c r="AM81" i="7"/>
  <c r="AF81" i="7" s="1"/>
  <c r="P78" i="22"/>
  <c r="Q79" i="22"/>
  <c r="BJ82" i="7"/>
  <c r="BK82" i="7" s="1"/>
  <c r="BL82" i="7" s="1"/>
  <c r="BH82" i="7"/>
  <c r="BI83" i="7"/>
  <c r="V82" i="7"/>
  <c r="W83" i="7"/>
  <c r="X82" i="7"/>
  <c r="Y82" i="7" s="1"/>
  <c r="Z82" i="7" s="1"/>
  <c r="V77" i="22"/>
  <c r="D84" i="7"/>
  <c r="E83" i="7"/>
  <c r="F83" i="7" s="1"/>
  <c r="G83" i="7" s="1"/>
  <c r="C83" i="7"/>
  <c r="W76" i="22"/>
  <c r="X76" i="22" s="1"/>
  <c r="AE80" i="7"/>
  <c r="BY81" i="7"/>
  <c r="BR81" i="7" s="1"/>
  <c r="T82" i="7"/>
  <c r="M82" i="7" s="1"/>
  <c r="BF82" i="7"/>
  <c r="AX82" i="7" s="1"/>
  <c r="AQ83" i="7"/>
  <c r="AR83" i="7" s="1"/>
  <c r="AS83" i="7" s="1"/>
  <c r="AO83" i="7"/>
  <c r="AP84" i="7"/>
  <c r="CR81" i="7"/>
  <c r="CJ81" i="7" s="1"/>
  <c r="CC82" i="7"/>
  <c r="CD82" i="7" s="1"/>
  <c r="CE82" i="7" s="1"/>
  <c r="CA82" i="7"/>
  <c r="CB83" i="7"/>
  <c r="AG80" i="7" l="1"/>
  <c r="A73" i="27"/>
  <c r="D75" i="28"/>
  <c r="B75" i="28"/>
  <c r="C76" i="28"/>
  <c r="K72" i="27"/>
  <c r="H72" i="27"/>
  <c r="I72" i="27"/>
  <c r="G72" i="27"/>
  <c r="F72" i="27"/>
  <c r="N81" i="7"/>
  <c r="BQ81" i="7"/>
  <c r="BV81" i="7" s="1"/>
  <c r="BW81" i="7" s="1"/>
  <c r="CK81" i="7"/>
  <c r="CO81" i="7" s="1"/>
  <c r="CP81" i="7" s="1"/>
  <c r="BC81" i="7"/>
  <c r="BD81" i="7" s="1"/>
  <c r="CL80" i="7"/>
  <c r="CL81" i="7" s="1"/>
  <c r="AZ82" i="7"/>
  <c r="BS80" i="7"/>
  <c r="L82" i="7"/>
  <c r="Q82" i="7" s="1"/>
  <c r="R82" i="7" s="1"/>
  <c r="V78" i="22"/>
  <c r="CA83" i="7"/>
  <c r="CB84" i="7"/>
  <c r="CC83" i="7"/>
  <c r="CD83" i="7" s="1"/>
  <c r="CE83" i="7" s="1"/>
  <c r="AP85" i="7"/>
  <c r="AQ84" i="7"/>
  <c r="AR84" i="7" s="1"/>
  <c r="AS84" i="7" s="1"/>
  <c r="AO84" i="7"/>
  <c r="T83" i="7"/>
  <c r="L83" i="7" s="1"/>
  <c r="X83" i="7"/>
  <c r="Y83" i="7" s="1"/>
  <c r="Z83" i="7" s="1"/>
  <c r="V83" i="7"/>
  <c r="W84" i="7"/>
  <c r="BF83" i="7"/>
  <c r="AY83" i="7" s="1"/>
  <c r="E84" i="7"/>
  <c r="F84" i="7" s="1"/>
  <c r="G84" i="7" s="1"/>
  <c r="C84" i="7"/>
  <c r="D85" i="7"/>
  <c r="BI84" i="7"/>
  <c r="BJ83" i="7"/>
  <c r="BK83" i="7" s="1"/>
  <c r="BL83" i="7" s="1"/>
  <c r="BH83" i="7"/>
  <c r="AE81" i="7"/>
  <c r="AJ81" i="7" s="1"/>
  <c r="CR82" i="7"/>
  <c r="CJ82" i="7" s="1"/>
  <c r="AY82" i="7"/>
  <c r="BC82" i="7" s="1"/>
  <c r="W77" i="22"/>
  <c r="X77" i="22" s="1"/>
  <c r="BY82" i="7"/>
  <c r="BR82" i="7" s="1"/>
  <c r="P79" i="22"/>
  <c r="Q80" i="22"/>
  <c r="AJ80" i="7"/>
  <c r="AK80" i="7" s="1"/>
  <c r="AM82" i="7"/>
  <c r="AF82" i="7" s="1"/>
  <c r="BD82" i="7" l="1"/>
  <c r="A74" i="27"/>
  <c r="C77" i="28"/>
  <c r="D76" i="28"/>
  <c r="B76" i="28"/>
  <c r="K73" i="27"/>
  <c r="F73" i="27"/>
  <c r="I73" i="27"/>
  <c r="H73" i="27"/>
  <c r="G73" i="27"/>
  <c r="N82" i="7"/>
  <c r="N83" i="7" s="1"/>
  <c r="BS81" i="7"/>
  <c r="AG81" i="7"/>
  <c r="CL82" i="7"/>
  <c r="CK82" i="7"/>
  <c r="CO82" i="7" s="1"/>
  <c r="CP82" i="7" s="1"/>
  <c r="AK81" i="7"/>
  <c r="AE82" i="7"/>
  <c r="AJ82" i="7" s="1"/>
  <c r="AK82" i="7" s="1"/>
  <c r="E85" i="7"/>
  <c r="F85" i="7" s="1"/>
  <c r="G85" i="7" s="1"/>
  <c r="D86" i="7"/>
  <c r="C85" i="7"/>
  <c r="AM83" i="7"/>
  <c r="AF83" i="7" s="1"/>
  <c r="CB85" i="7"/>
  <c r="CC84" i="7"/>
  <c r="CD84" i="7" s="1"/>
  <c r="CE84" i="7" s="1"/>
  <c r="CA84" i="7"/>
  <c r="BQ82" i="7"/>
  <c r="M83" i="7"/>
  <c r="Q83" i="7" s="1"/>
  <c r="R83" i="7" s="1"/>
  <c r="T84" i="7"/>
  <c r="L84" i="7" s="1"/>
  <c r="BI85" i="7"/>
  <c r="BJ84" i="7"/>
  <c r="BK84" i="7" s="1"/>
  <c r="BL84" i="7" s="1"/>
  <c r="BH84" i="7"/>
  <c r="P80" i="22"/>
  <c r="Q81" i="22"/>
  <c r="AX83" i="7"/>
  <c r="AZ83" i="7" s="1"/>
  <c r="W78" i="22"/>
  <c r="X78" i="22" s="1"/>
  <c r="CR83" i="7"/>
  <c r="CK83" i="7" s="1"/>
  <c r="V79" i="22"/>
  <c r="BF84" i="7"/>
  <c r="AX84" i="7" s="1"/>
  <c r="BY83" i="7"/>
  <c r="BR83" i="7" s="1"/>
  <c r="X84" i="7"/>
  <c r="Y84" i="7" s="1"/>
  <c r="Z84" i="7" s="1"/>
  <c r="W85" i="7"/>
  <c r="V84" i="7"/>
  <c r="AO85" i="7"/>
  <c r="AQ85" i="7"/>
  <c r="AR85" i="7" s="1"/>
  <c r="AS85" i="7" s="1"/>
  <c r="AP86" i="7"/>
  <c r="BS82" i="7" l="1"/>
  <c r="A75" i="27"/>
  <c r="C78" i="28"/>
  <c r="D77" i="28"/>
  <c r="B77" i="28"/>
  <c r="K74" i="27"/>
  <c r="H74" i="27"/>
  <c r="I74" i="27"/>
  <c r="G74" i="27"/>
  <c r="F74" i="27"/>
  <c r="AG82" i="7"/>
  <c r="AY84" i="7"/>
  <c r="BC84" i="7" s="1"/>
  <c r="N84" i="7"/>
  <c r="E86" i="7"/>
  <c r="F86" i="7" s="1"/>
  <c r="G86" i="7" s="1"/>
  <c r="D87" i="7"/>
  <c r="C86" i="7"/>
  <c r="BY84" i="7"/>
  <c r="BR84" i="7" s="1"/>
  <c r="T85" i="7"/>
  <c r="M85" i="7" s="1"/>
  <c r="BH85" i="7"/>
  <c r="BI86" i="7"/>
  <c r="BJ85" i="7"/>
  <c r="BK85" i="7" s="1"/>
  <c r="BL85" i="7" s="1"/>
  <c r="CR84" i="7"/>
  <c r="CK84" i="7" s="1"/>
  <c r="CC85" i="7"/>
  <c r="CD85" i="7" s="1"/>
  <c r="CE85" i="7" s="1"/>
  <c r="CA85" i="7"/>
  <c r="CB86" i="7"/>
  <c r="BF85" i="7"/>
  <c r="AY85" i="7" s="1"/>
  <c r="X85" i="7"/>
  <c r="Y85" i="7" s="1"/>
  <c r="Z85" i="7" s="1"/>
  <c r="W86" i="7"/>
  <c r="V85" i="7"/>
  <c r="AM84" i="7"/>
  <c r="AE84" i="7" s="1"/>
  <c r="M84" i="7"/>
  <c r="Q84" i="7" s="1"/>
  <c r="R84" i="7" s="1"/>
  <c r="W79" i="22"/>
  <c r="X79" i="22" s="1"/>
  <c r="AZ84" i="7"/>
  <c r="BQ83" i="7"/>
  <c r="BV83" i="7" s="1"/>
  <c r="CJ83" i="7"/>
  <c r="CL83" i="7" s="1"/>
  <c r="P81" i="22"/>
  <c r="Q82" i="22"/>
  <c r="AE83" i="7"/>
  <c r="AJ83" i="7" s="1"/>
  <c r="AK83" i="7" s="1"/>
  <c r="BV82" i="7"/>
  <c r="BW82" i="7" s="1"/>
  <c r="AQ86" i="7"/>
  <c r="AR86" i="7" s="1"/>
  <c r="AS86" i="7" s="1"/>
  <c r="AP87" i="7"/>
  <c r="AO86" i="7"/>
  <c r="V80" i="22"/>
  <c r="BC83" i="7"/>
  <c r="BD83" i="7" s="1"/>
  <c r="A76" i="27" l="1"/>
  <c r="B78" i="28"/>
  <c r="C79" i="28"/>
  <c r="D78" i="28"/>
  <c r="K75" i="27"/>
  <c r="I75" i="27"/>
  <c r="H75" i="27"/>
  <c r="F75" i="27"/>
  <c r="G75" i="27"/>
  <c r="BW83" i="7"/>
  <c r="AF84" i="7"/>
  <c r="AJ84" i="7" s="1"/>
  <c r="AK84" i="7" s="1"/>
  <c r="CJ84" i="7"/>
  <c r="CL84" i="7" s="1"/>
  <c r="L85" i="7"/>
  <c r="Q85" i="7" s="1"/>
  <c r="R85" i="7" s="1"/>
  <c r="AX85" i="7"/>
  <c r="AZ85" i="7" s="1"/>
  <c r="BF86" i="7"/>
  <c r="AY86" i="7" s="1"/>
  <c r="CR85" i="7"/>
  <c r="CK85" i="7" s="1"/>
  <c r="AG83" i="7"/>
  <c r="AG84" i="7" s="1"/>
  <c r="T86" i="7"/>
  <c r="M86" i="7" s="1"/>
  <c r="X86" i="7"/>
  <c r="Y86" i="7" s="1"/>
  <c r="Z86" i="7" s="1"/>
  <c r="V86" i="7"/>
  <c r="W87" i="7"/>
  <c r="AP88" i="7"/>
  <c r="AQ87" i="7"/>
  <c r="AR87" i="7" s="1"/>
  <c r="AS87" i="7" s="1"/>
  <c r="AO87" i="7"/>
  <c r="BD84" i="7"/>
  <c r="AM85" i="7"/>
  <c r="AF85" i="7" s="1"/>
  <c r="P82" i="22"/>
  <c r="Q83" i="22"/>
  <c r="BQ84" i="7"/>
  <c r="BV84" i="7" s="1"/>
  <c r="BW84" i="7" s="1"/>
  <c r="BS83" i="7"/>
  <c r="BY85" i="7"/>
  <c r="BR85" i="7" s="1"/>
  <c r="CO83" i="7"/>
  <c r="CP83" i="7" s="1"/>
  <c r="V81" i="22"/>
  <c r="BJ86" i="7"/>
  <c r="BK86" i="7" s="1"/>
  <c r="BL86" i="7" s="1"/>
  <c r="BI87" i="7"/>
  <c r="BH86" i="7"/>
  <c r="W80" i="22"/>
  <c r="X80" i="22" s="1"/>
  <c r="CC86" i="7"/>
  <c r="CD86" i="7" s="1"/>
  <c r="CE86" i="7" s="1"/>
  <c r="CB87" i="7"/>
  <c r="CA86" i="7"/>
  <c r="E87" i="7"/>
  <c r="F87" i="7" s="1"/>
  <c r="G87" i="7" s="1"/>
  <c r="C87" i="7"/>
  <c r="D88" i="7"/>
  <c r="A77" i="27" l="1"/>
  <c r="C80" i="28"/>
  <c r="D79" i="28"/>
  <c r="B79" i="28"/>
  <c r="K76" i="27"/>
  <c r="H76" i="27"/>
  <c r="I76" i="27"/>
  <c r="G76" i="27"/>
  <c r="F76" i="27"/>
  <c r="N85" i="7"/>
  <c r="AE85" i="7"/>
  <c r="AJ85" i="7" s="1"/>
  <c r="AK85" i="7" s="1"/>
  <c r="CO84" i="7"/>
  <c r="CP84" i="7" s="1"/>
  <c r="BC85" i="7"/>
  <c r="BD85" i="7" s="1"/>
  <c r="BJ87" i="7"/>
  <c r="BK87" i="7" s="1"/>
  <c r="BL87" i="7" s="1"/>
  <c r="BI88" i="7"/>
  <c r="BH87" i="7"/>
  <c r="BQ85" i="7"/>
  <c r="BV85" i="7" s="1"/>
  <c r="BW85" i="7" s="1"/>
  <c r="W88" i="7"/>
  <c r="V87" i="7"/>
  <c r="X87" i="7"/>
  <c r="Y87" i="7" s="1"/>
  <c r="Z87" i="7" s="1"/>
  <c r="CJ85" i="7"/>
  <c r="CL85" i="7" s="1"/>
  <c r="AP89" i="7"/>
  <c r="AQ88" i="7"/>
  <c r="AR88" i="7" s="1"/>
  <c r="AS88" i="7" s="1"/>
  <c r="AO88" i="7"/>
  <c r="W81" i="22"/>
  <c r="X81" i="22" s="1"/>
  <c r="BS84" i="7"/>
  <c r="CR86" i="7"/>
  <c r="CJ86" i="7" s="1"/>
  <c r="AM86" i="7"/>
  <c r="AE86" i="7" s="1"/>
  <c r="T87" i="7"/>
  <c r="M87" i="7" s="1"/>
  <c r="CB88" i="7"/>
  <c r="CC87" i="7"/>
  <c r="CD87" i="7" s="1"/>
  <c r="CE87" i="7" s="1"/>
  <c r="CA87" i="7"/>
  <c r="P83" i="22"/>
  <c r="Q84" i="22"/>
  <c r="AX86" i="7"/>
  <c r="L86" i="7"/>
  <c r="BY86" i="7"/>
  <c r="BQ86" i="7" s="1"/>
  <c r="D89" i="7"/>
  <c r="C88" i="7"/>
  <c r="Y80" i="22" s="1"/>
  <c r="E88" i="7"/>
  <c r="F88" i="7" s="1"/>
  <c r="G88" i="7" s="1"/>
  <c r="V82" i="22"/>
  <c r="BF87" i="7"/>
  <c r="AX87" i="7" s="1"/>
  <c r="Y81" i="22" l="1"/>
  <c r="Y72" i="22"/>
  <c r="Y73" i="22"/>
  <c r="Y74" i="22"/>
  <c r="Y75" i="22"/>
  <c r="Y76" i="22"/>
  <c r="Y77" i="22"/>
  <c r="Y78" i="22"/>
  <c r="Y79" i="22"/>
  <c r="A78" i="27"/>
  <c r="D80" i="28"/>
  <c r="B80" i="28"/>
  <c r="C81" i="28"/>
  <c r="K77" i="27"/>
  <c r="I77" i="27"/>
  <c r="H77" i="27"/>
  <c r="G77" i="27"/>
  <c r="F77" i="27"/>
  <c r="L87" i="7"/>
  <c r="AG85" i="7"/>
  <c r="AG86" i="7" s="1"/>
  <c r="AA8" i="7"/>
  <c r="AH86" i="7"/>
  <c r="CF8" i="7"/>
  <c r="CM86" i="7"/>
  <c r="BM8" i="7"/>
  <c r="BT86" i="7"/>
  <c r="BR86" i="7"/>
  <c r="BV86" i="7" s="1"/>
  <c r="BW86" i="7" s="1"/>
  <c r="AF86" i="7"/>
  <c r="AJ86" i="7" s="1"/>
  <c r="AK86" i="7" s="1"/>
  <c r="BF88" i="7"/>
  <c r="AX88" i="7" s="1"/>
  <c r="CR87" i="7"/>
  <c r="CK87" i="7" s="1"/>
  <c r="AQ89" i="7"/>
  <c r="AR89" i="7" s="1"/>
  <c r="AS89" i="7" s="1"/>
  <c r="AP90" i="7"/>
  <c r="AO89" i="7"/>
  <c r="BJ88" i="7"/>
  <c r="BK88" i="7" s="1"/>
  <c r="BL88" i="7" s="1"/>
  <c r="BI89" i="7"/>
  <c r="BH88" i="7"/>
  <c r="AY87" i="7"/>
  <c r="BC87" i="7" s="1"/>
  <c r="CL86" i="7"/>
  <c r="BY87" i="7"/>
  <c r="BQ87" i="7" s="1"/>
  <c r="AT8" i="7"/>
  <c r="BA86" i="7"/>
  <c r="AZ86" i="7"/>
  <c r="AZ87" i="7" s="1"/>
  <c r="CK86" i="7"/>
  <c r="CO86" i="7" s="1"/>
  <c r="AM87" i="7"/>
  <c r="AF87" i="7" s="1"/>
  <c r="BC86" i="7"/>
  <c r="BD86" i="7" s="1"/>
  <c r="H8" i="7"/>
  <c r="O86" i="7"/>
  <c r="P84" i="22"/>
  <c r="Q85" i="22"/>
  <c r="BS85" i="7"/>
  <c r="BS86" i="7" s="1"/>
  <c r="CO85" i="7"/>
  <c r="CP85" i="7" s="1"/>
  <c r="W82" i="22"/>
  <c r="X82" i="22"/>
  <c r="Y82" i="22" s="1"/>
  <c r="T88" i="7"/>
  <c r="M88" i="7" s="1"/>
  <c r="C89" i="7"/>
  <c r="D90" i="7"/>
  <c r="E89" i="7"/>
  <c r="F89" i="7" s="1"/>
  <c r="G89" i="7" s="1"/>
  <c r="W89" i="7"/>
  <c r="X88" i="7"/>
  <c r="Y88" i="7" s="1"/>
  <c r="Z88" i="7" s="1"/>
  <c r="V88" i="7"/>
  <c r="Q86" i="7"/>
  <c r="R86" i="7" s="1"/>
  <c r="CC88" i="7"/>
  <c r="CD88" i="7" s="1"/>
  <c r="CE88" i="7" s="1"/>
  <c r="CA88" i="7"/>
  <c r="CB89" i="7"/>
  <c r="V83" i="22"/>
  <c r="N86" i="7"/>
  <c r="Q87" i="7" l="1"/>
  <c r="R87" i="7" s="1"/>
  <c r="N87" i="7"/>
  <c r="A79" i="27"/>
  <c r="B81" i="28"/>
  <c r="C82" i="28"/>
  <c r="D81" i="28"/>
  <c r="K78" i="27"/>
  <c r="I78" i="27"/>
  <c r="G78" i="27"/>
  <c r="F78" i="27"/>
  <c r="H78" i="27"/>
  <c r="AY88" i="7"/>
  <c r="BC88" i="7" s="1"/>
  <c r="BD88" i="7" s="1"/>
  <c r="AE87" i="7"/>
  <c r="AJ87" i="7" s="1"/>
  <c r="AK87" i="7" s="1"/>
  <c r="CJ87" i="7"/>
  <c r="CO87" i="7" s="1"/>
  <c r="CP87" i="7" s="1"/>
  <c r="BD87" i="7"/>
  <c r="L88" i="7"/>
  <c r="CP86" i="7"/>
  <c r="V84" i="22"/>
  <c r="W83" i="22"/>
  <c r="X83" i="22" s="1"/>
  <c r="AZ88" i="7"/>
  <c r="AM88" i="7"/>
  <c r="AE88" i="7" s="1"/>
  <c r="V89" i="7"/>
  <c r="W90" i="7"/>
  <c r="X89" i="7"/>
  <c r="Y89" i="7" s="1"/>
  <c r="Z89" i="7" s="1"/>
  <c r="BI90" i="7"/>
  <c r="BJ89" i="7"/>
  <c r="BK89" i="7" s="1"/>
  <c r="BL89" i="7" s="1"/>
  <c r="BH89" i="7"/>
  <c r="BY88" i="7"/>
  <c r="BR88" i="7" s="1"/>
  <c r="CB90" i="7"/>
  <c r="CC89" i="7"/>
  <c r="CD89" i="7" s="1"/>
  <c r="CE89" i="7" s="1"/>
  <c r="CA89" i="7"/>
  <c r="D91" i="7"/>
  <c r="C90" i="7"/>
  <c r="E90" i="7"/>
  <c r="F90" i="7" s="1"/>
  <c r="G90" i="7" s="1"/>
  <c r="BS87" i="7"/>
  <c r="BR87" i="7"/>
  <c r="BV87" i="7" s="1"/>
  <c r="BW87" i="7" s="1"/>
  <c r="T89" i="7"/>
  <c r="L89" i="7" s="1"/>
  <c r="AO90" i="7"/>
  <c r="AQ90" i="7"/>
  <c r="AR90" i="7" s="1"/>
  <c r="AS90" i="7" s="1"/>
  <c r="AP91" i="7"/>
  <c r="CR88" i="7"/>
  <c r="CJ88" i="7" s="1"/>
  <c r="P85" i="22"/>
  <c r="Q86" i="22"/>
  <c r="BF89" i="7"/>
  <c r="AY89" i="7" s="1"/>
  <c r="Q88" i="7" l="1"/>
  <c r="R88" i="7" s="1"/>
  <c r="A80" i="27"/>
  <c r="C83" i="28"/>
  <c r="D82" i="28"/>
  <c r="B82" i="28"/>
  <c r="K79" i="27"/>
  <c r="H79" i="27"/>
  <c r="G79" i="27"/>
  <c r="F79" i="27"/>
  <c r="I79" i="27"/>
  <c r="AG87" i="7"/>
  <c r="AG88" i="7" s="1"/>
  <c r="CL87" i="7"/>
  <c r="CL88" i="7" s="1"/>
  <c r="CK88" i="7"/>
  <c r="CO88" i="7" s="1"/>
  <c r="CP88" i="7" s="1"/>
  <c r="BQ88" i="7"/>
  <c r="BV88" i="7" s="1"/>
  <c r="BW88" i="7" s="1"/>
  <c r="AF88" i="7"/>
  <c r="AJ88" i="7" s="1"/>
  <c r="AK88" i="7" s="1"/>
  <c r="N88" i="7"/>
  <c r="N89" i="7" s="1"/>
  <c r="AM89" i="7"/>
  <c r="AE89" i="7" s="1"/>
  <c r="P86" i="22"/>
  <c r="Q87" i="22"/>
  <c r="V85" i="22"/>
  <c r="M89" i="7"/>
  <c r="Q89" i="7" s="1"/>
  <c r="E91" i="7"/>
  <c r="F91" i="7" s="1"/>
  <c r="G91" i="7" s="1"/>
  <c r="D92" i="7"/>
  <c r="C91" i="7"/>
  <c r="W84" i="22"/>
  <c r="X84" i="22" s="1"/>
  <c r="W91" i="7"/>
  <c r="X90" i="7"/>
  <c r="Y90" i="7" s="1"/>
  <c r="Z90" i="7" s="1"/>
  <c r="V90" i="7"/>
  <c r="CR89" i="7"/>
  <c r="CK89" i="7" s="1"/>
  <c r="T90" i="7"/>
  <c r="L90" i="7" s="1"/>
  <c r="CC90" i="7"/>
  <c r="CD90" i="7" s="1"/>
  <c r="CE90" i="7" s="1"/>
  <c r="CA90" i="7"/>
  <c r="CB91" i="7"/>
  <c r="AX89" i="7"/>
  <c r="BY89" i="7"/>
  <c r="BR89" i="7" s="1"/>
  <c r="BF90" i="7"/>
  <c r="AY90" i="7" s="1"/>
  <c r="AP92" i="7"/>
  <c r="AO91" i="7"/>
  <c r="AQ91" i="7"/>
  <c r="AR91" i="7" s="1"/>
  <c r="AS91" i="7" s="1"/>
  <c r="BH90" i="7"/>
  <c r="BJ90" i="7"/>
  <c r="BK90" i="7" s="1"/>
  <c r="BL90" i="7" s="1"/>
  <c r="BI91" i="7"/>
  <c r="R89" i="7" l="1"/>
  <c r="A81" i="27"/>
  <c r="D83" i="28"/>
  <c r="B83" i="28"/>
  <c r="C84" i="28"/>
  <c r="K80" i="27"/>
  <c r="I80" i="27"/>
  <c r="G80" i="27"/>
  <c r="F80" i="27"/>
  <c r="H80" i="27"/>
  <c r="BS88" i="7"/>
  <c r="M90" i="7"/>
  <c r="Q90" i="7" s="1"/>
  <c r="R90" i="7" s="1"/>
  <c r="BQ89" i="7"/>
  <c r="AF89" i="7"/>
  <c r="AJ89" i="7" s="1"/>
  <c r="AK89" i="7" s="1"/>
  <c r="AM90" i="7"/>
  <c r="AE90" i="7" s="1"/>
  <c r="W85" i="22"/>
  <c r="X85" i="22" s="1"/>
  <c r="W92" i="7"/>
  <c r="X91" i="7"/>
  <c r="Y91" i="7" s="1"/>
  <c r="Z91" i="7" s="1"/>
  <c r="V91" i="7"/>
  <c r="AG89" i="7"/>
  <c r="P87" i="22"/>
  <c r="Q88" i="22"/>
  <c r="BC89" i="7"/>
  <c r="BD89" i="7" s="1"/>
  <c r="T91" i="7"/>
  <c r="L91" i="7" s="1"/>
  <c r="AQ92" i="7"/>
  <c r="AR92" i="7" s="1"/>
  <c r="AS92" i="7" s="1"/>
  <c r="AO92" i="7"/>
  <c r="AP93" i="7"/>
  <c r="CB92" i="7"/>
  <c r="CC91" i="7"/>
  <c r="CD91" i="7" s="1"/>
  <c r="CE91" i="7" s="1"/>
  <c r="CA91" i="7"/>
  <c r="BF91" i="7"/>
  <c r="AY91" i="7" s="1"/>
  <c r="AZ89" i="7"/>
  <c r="BI92" i="7"/>
  <c r="BJ91" i="7"/>
  <c r="BK91" i="7" s="1"/>
  <c r="BL91" i="7" s="1"/>
  <c r="BH91" i="7"/>
  <c r="AX90" i="7"/>
  <c r="BC90" i="7" s="1"/>
  <c r="BY90" i="7"/>
  <c r="BQ90" i="7" s="1"/>
  <c r="CJ89" i="7"/>
  <c r="CL89" i="7" s="1"/>
  <c r="V86" i="22"/>
  <c r="N90" i="7"/>
  <c r="CR90" i="7"/>
  <c r="CK90" i="7" s="1"/>
  <c r="C92" i="7"/>
  <c r="D93" i="7"/>
  <c r="E92" i="7"/>
  <c r="F92" i="7" s="1"/>
  <c r="G92" i="7" s="1"/>
  <c r="A82" i="27" l="1"/>
  <c r="C85" i="28"/>
  <c r="D84" i="28"/>
  <c r="B84" i="28"/>
  <c r="K81" i="27"/>
  <c r="G81" i="27"/>
  <c r="F81" i="27"/>
  <c r="H81" i="27"/>
  <c r="I81" i="27"/>
  <c r="BD90" i="7"/>
  <c r="AX91" i="7"/>
  <c r="BC91" i="7" s="1"/>
  <c r="BD91" i="7" s="1"/>
  <c r="AF90" i="7"/>
  <c r="AJ90" i="7" s="1"/>
  <c r="AK90" i="7" s="1"/>
  <c r="BR90" i="7"/>
  <c r="BV90" i="7" s="1"/>
  <c r="AZ90" i="7"/>
  <c r="M91" i="7"/>
  <c r="Q91" i="7" s="1"/>
  <c r="R91" i="7" s="1"/>
  <c r="N91" i="7"/>
  <c r="BY91" i="7"/>
  <c r="BR91" i="7" s="1"/>
  <c r="CB93" i="7"/>
  <c r="CC92" i="7"/>
  <c r="CD92" i="7" s="1"/>
  <c r="CE92" i="7" s="1"/>
  <c r="CA92" i="7"/>
  <c r="AP94" i="7"/>
  <c r="AQ93" i="7"/>
  <c r="AR93" i="7" s="1"/>
  <c r="AS93" i="7" s="1"/>
  <c r="AO93" i="7"/>
  <c r="AM91" i="7"/>
  <c r="AF91" i="7" s="1"/>
  <c r="T92" i="7"/>
  <c r="L92" i="7" s="1"/>
  <c r="V92" i="7"/>
  <c r="X92" i="7"/>
  <c r="Y92" i="7" s="1"/>
  <c r="Z92" i="7" s="1"/>
  <c r="W93" i="7"/>
  <c r="BH92" i="7"/>
  <c r="BJ92" i="7"/>
  <c r="BK92" i="7" s="1"/>
  <c r="BL92" i="7" s="1"/>
  <c r="BI93" i="7"/>
  <c r="V87" i="22"/>
  <c r="BS89" i="7"/>
  <c r="BS90" i="7" s="1"/>
  <c r="CO89" i="7"/>
  <c r="CP89" i="7" s="1"/>
  <c r="CR91" i="7"/>
  <c r="CK91" i="7" s="1"/>
  <c r="W86" i="22"/>
  <c r="X86" i="22" s="1"/>
  <c r="P88" i="22"/>
  <c r="Q89" i="22"/>
  <c r="BF92" i="7"/>
  <c r="AY92" i="7" s="1"/>
  <c r="CJ90" i="7"/>
  <c r="CO90" i="7" s="1"/>
  <c r="BV89" i="7"/>
  <c r="BW89" i="7" s="1"/>
  <c r="E93" i="7"/>
  <c r="F93" i="7" s="1"/>
  <c r="G93" i="7" s="1"/>
  <c r="D94" i="7"/>
  <c r="C93" i="7"/>
  <c r="AG90" i="7"/>
  <c r="Y86" i="22" l="1"/>
  <c r="Y83" i="22"/>
  <c r="Y84" i="22"/>
  <c r="Y85" i="22"/>
  <c r="CP90" i="7"/>
  <c r="A83" i="27"/>
  <c r="C86" i="28"/>
  <c r="D85" i="28"/>
  <c r="B85" i="28"/>
  <c r="K82" i="27"/>
  <c r="I82" i="27"/>
  <c r="G82" i="27"/>
  <c r="H82" i="27"/>
  <c r="F82" i="27"/>
  <c r="AZ91" i="7"/>
  <c r="BQ91" i="7"/>
  <c r="BS91" i="7" s="1"/>
  <c r="T93" i="7"/>
  <c r="M93" i="7" s="1"/>
  <c r="P89" i="22"/>
  <c r="Q90" i="22"/>
  <c r="BI94" i="7"/>
  <c r="BH93" i="7"/>
  <c r="BJ93" i="7"/>
  <c r="BK93" i="7" s="1"/>
  <c r="BL93" i="7" s="1"/>
  <c r="M92" i="7"/>
  <c r="Q92" i="7" s="1"/>
  <c r="R92" i="7" s="1"/>
  <c r="AE91" i="7"/>
  <c r="AG91" i="7" s="1"/>
  <c r="CB94" i="7"/>
  <c r="CA93" i="7"/>
  <c r="CC93" i="7"/>
  <c r="CD93" i="7" s="1"/>
  <c r="CE93" i="7" s="1"/>
  <c r="W94" i="7"/>
  <c r="X93" i="7"/>
  <c r="Y93" i="7" s="1"/>
  <c r="Z93" i="7" s="1"/>
  <c r="V93" i="7"/>
  <c r="V88" i="22"/>
  <c r="W87" i="22"/>
  <c r="X87" i="22" s="1"/>
  <c r="Y87" i="22" s="1"/>
  <c r="AM92" i="7"/>
  <c r="AF92" i="7" s="1"/>
  <c r="BY92" i="7"/>
  <c r="BR92" i="7" s="1"/>
  <c r="BW90" i="7"/>
  <c r="CJ91" i="7"/>
  <c r="CO91" i="7" s="1"/>
  <c r="CP91" i="7" s="1"/>
  <c r="BF93" i="7"/>
  <c r="AY93" i="7" s="1"/>
  <c r="N92" i="7"/>
  <c r="CR92" i="7"/>
  <c r="CJ92" i="7" s="1"/>
  <c r="AX92" i="7"/>
  <c r="CL90" i="7"/>
  <c r="D95" i="7"/>
  <c r="E94" i="7"/>
  <c r="F94" i="7" s="1"/>
  <c r="G94" i="7" s="1"/>
  <c r="C94" i="7"/>
  <c r="AO94" i="7"/>
  <c r="AP95" i="7"/>
  <c r="AQ94" i="7"/>
  <c r="AR94" i="7" s="1"/>
  <c r="AS94" i="7" s="1"/>
  <c r="AZ92" i="7" l="1"/>
  <c r="A84" i="27"/>
  <c r="B86" i="28"/>
  <c r="C87" i="28"/>
  <c r="D86" i="28"/>
  <c r="K83" i="27"/>
  <c r="G83" i="27"/>
  <c r="F83" i="27"/>
  <c r="I83" i="27"/>
  <c r="H83" i="27"/>
  <c r="BV91" i="7"/>
  <c r="BW91" i="7" s="1"/>
  <c r="BQ92" i="7"/>
  <c r="BS92" i="7" s="1"/>
  <c r="AE92" i="7"/>
  <c r="AG92" i="7" s="1"/>
  <c r="CK92" i="7"/>
  <c r="CO92" i="7" s="1"/>
  <c r="CP92" i="7" s="1"/>
  <c r="V89" i="22"/>
  <c r="W88" i="22"/>
  <c r="X88" i="22" s="1"/>
  <c r="AX93" i="7"/>
  <c r="BC93" i="7" s="1"/>
  <c r="L93" i="7"/>
  <c r="D96" i="7"/>
  <c r="E95" i="7"/>
  <c r="F95" i="7" s="1"/>
  <c r="G95" i="7" s="1"/>
  <c r="C95" i="7"/>
  <c r="AM93" i="7"/>
  <c r="AE93" i="7" s="1"/>
  <c r="BY93" i="7"/>
  <c r="BR93" i="7" s="1"/>
  <c r="CL91" i="7"/>
  <c r="CL92" i="7" s="1"/>
  <c r="V94" i="7"/>
  <c r="X94" i="7"/>
  <c r="Y94" i="7" s="1"/>
  <c r="Z94" i="7" s="1"/>
  <c r="W95" i="7"/>
  <c r="T94" i="7"/>
  <c r="M94" i="7" s="1"/>
  <c r="CR93" i="7"/>
  <c r="CJ93" i="7" s="1"/>
  <c r="BJ94" i="7"/>
  <c r="BK94" i="7" s="1"/>
  <c r="BL94" i="7" s="1"/>
  <c r="BH94" i="7"/>
  <c r="BI95" i="7"/>
  <c r="AJ91" i="7"/>
  <c r="AK91" i="7" s="1"/>
  <c r="BF94" i="7"/>
  <c r="AX94" i="7" s="1"/>
  <c r="P90" i="22"/>
  <c r="Q91" i="22"/>
  <c r="BC92" i="7"/>
  <c r="BD92" i="7" s="1"/>
  <c r="AP96" i="7"/>
  <c r="AO95" i="7"/>
  <c r="AQ95" i="7"/>
  <c r="AR95" i="7" s="1"/>
  <c r="AS95" i="7" s="1"/>
  <c r="CC94" i="7"/>
  <c r="CD94" i="7" s="1"/>
  <c r="CE94" i="7" s="1"/>
  <c r="CA94" i="7"/>
  <c r="CB95" i="7"/>
  <c r="Q93" i="7" l="1"/>
  <c r="R93" i="7" s="1"/>
  <c r="A85" i="27"/>
  <c r="D87" i="28"/>
  <c r="B87" i="28"/>
  <c r="K84" i="27"/>
  <c r="H84" i="27"/>
  <c r="I84" i="27"/>
  <c r="G84" i="27"/>
  <c r="F84" i="27"/>
  <c r="BV92" i="7"/>
  <c r="BW92" i="7" s="1"/>
  <c r="CK93" i="7"/>
  <c r="CO93" i="7" s="1"/>
  <c r="CP93" i="7" s="1"/>
  <c r="AZ93" i="7"/>
  <c r="AZ94" i="7" s="1"/>
  <c r="AF93" i="7"/>
  <c r="AJ93" i="7" s="1"/>
  <c r="AG93" i="7"/>
  <c r="BQ93" i="7"/>
  <c r="BS93" i="7" s="1"/>
  <c r="AJ92" i="7"/>
  <c r="AK92" i="7" s="1"/>
  <c r="L94" i="7"/>
  <c r="Q94" i="7" s="1"/>
  <c r="BD93" i="7"/>
  <c r="AY94" i="7"/>
  <c r="BC94" i="7" s="1"/>
  <c r="BD94" i="7" s="1"/>
  <c r="CL93" i="7"/>
  <c r="T95" i="7"/>
  <c r="M95" i="7" s="1"/>
  <c r="N93" i="7"/>
  <c r="C96" i="7"/>
  <c r="Y88" i="22" s="1"/>
  <c r="D97" i="7"/>
  <c r="E96" i="7"/>
  <c r="F96" i="7" s="1"/>
  <c r="G96" i="7" s="1"/>
  <c r="W89" i="22"/>
  <c r="X89" i="22" s="1"/>
  <c r="Y89" i="22" s="1"/>
  <c r="CA95" i="7"/>
  <c r="CC95" i="7"/>
  <c r="CD95" i="7" s="1"/>
  <c r="CE95" i="7" s="1"/>
  <c r="CB96" i="7"/>
  <c r="AQ96" i="7"/>
  <c r="AR96" i="7" s="1"/>
  <c r="AS96" i="7" s="1"/>
  <c r="AO96" i="7"/>
  <c r="AP97" i="7"/>
  <c r="BI96" i="7"/>
  <c r="BJ95" i="7"/>
  <c r="BK95" i="7" s="1"/>
  <c r="BL95" i="7" s="1"/>
  <c r="BH95" i="7"/>
  <c r="P91" i="22"/>
  <c r="Q92" i="22"/>
  <c r="CR94" i="7"/>
  <c r="CJ94" i="7" s="1"/>
  <c r="W96" i="7"/>
  <c r="X95" i="7"/>
  <c r="Y95" i="7" s="1"/>
  <c r="Z95" i="7" s="1"/>
  <c r="V95" i="7"/>
  <c r="BF95" i="7"/>
  <c r="AX95" i="7" s="1"/>
  <c r="V90" i="22"/>
  <c r="BY94" i="7"/>
  <c r="BR94" i="7" s="1"/>
  <c r="AM94" i="7"/>
  <c r="AF94" i="7" s="1"/>
  <c r="R94" i="7" l="1"/>
  <c r="K85" i="27"/>
  <c r="G85" i="27"/>
  <c r="F85" i="27"/>
  <c r="I85" i="27"/>
  <c r="H85" i="27"/>
  <c r="AE94" i="7"/>
  <c r="AG94" i="7" s="1"/>
  <c r="AK93" i="7"/>
  <c r="BQ94" i="7"/>
  <c r="BS94" i="7" s="1"/>
  <c r="CK94" i="7"/>
  <c r="CO94" i="7" s="1"/>
  <c r="CP94" i="7" s="1"/>
  <c r="N94" i="7"/>
  <c r="AY95" i="7"/>
  <c r="BC95" i="7" s="1"/>
  <c r="BD95" i="7" s="1"/>
  <c r="BV93" i="7"/>
  <c r="BW93" i="7" s="1"/>
  <c r="CR95" i="7"/>
  <c r="CK95" i="7" s="1"/>
  <c r="P92" i="22"/>
  <c r="AZ95" i="7"/>
  <c r="AO97" i="7"/>
  <c r="AP98" i="7"/>
  <c r="AQ97" i="7"/>
  <c r="AR97" i="7" s="1"/>
  <c r="AS97" i="7" s="1"/>
  <c r="L95" i="7"/>
  <c r="BI97" i="7"/>
  <c r="BJ96" i="7"/>
  <c r="BK96" i="7" s="1"/>
  <c r="BL96" i="7" s="1"/>
  <c r="BH96" i="7"/>
  <c r="V91" i="22"/>
  <c r="BF96" i="7"/>
  <c r="AY96" i="7" s="1"/>
  <c r="CL94" i="7"/>
  <c r="AM95" i="7"/>
  <c r="AF95" i="7" s="1"/>
  <c r="T96" i="7"/>
  <c r="L96" i="7" s="1"/>
  <c r="X96" i="7"/>
  <c r="Y96" i="7" s="1"/>
  <c r="Z96" i="7" s="1"/>
  <c r="V96" i="7"/>
  <c r="W97" i="7"/>
  <c r="D98" i="7"/>
  <c r="C97" i="7"/>
  <c r="E97" i="7"/>
  <c r="F97" i="7" s="1"/>
  <c r="G97" i="7" s="1"/>
  <c r="W90" i="22"/>
  <c r="X90" i="22" s="1"/>
  <c r="BY95" i="7"/>
  <c r="BR95" i="7" s="1"/>
  <c r="CB97" i="7"/>
  <c r="CC96" i="7"/>
  <c r="CD96" i="7" s="1"/>
  <c r="CE96" i="7" s="1"/>
  <c r="CA96" i="7"/>
  <c r="Y90" i="22" l="1"/>
  <c r="Q95" i="7"/>
  <c r="R95" i="7" s="1"/>
  <c r="BV94" i="7"/>
  <c r="BW94" i="7" s="1"/>
  <c r="AJ94" i="7"/>
  <c r="AK94" i="7" s="1"/>
  <c r="M96" i="7"/>
  <c r="Q96" i="7" s="1"/>
  <c r="AX96" i="7"/>
  <c r="BC96" i="7" s="1"/>
  <c r="BD96" i="7" s="1"/>
  <c r="V92" i="22"/>
  <c r="BF97" i="7"/>
  <c r="AX97" i="7" s="1"/>
  <c r="AQ98" i="7"/>
  <c r="AR98" i="7" s="1"/>
  <c r="AS98" i="7" s="1"/>
  <c r="AO98" i="7"/>
  <c r="CJ95" i="7"/>
  <c r="CO95" i="7" s="1"/>
  <c r="CP95" i="7" s="1"/>
  <c r="CR96" i="7"/>
  <c r="CK96" i="7" s="1"/>
  <c r="E98" i="7"/>
  <c r="C98" i="7"/>
  <c r="AE95" i="7"/>
  <c r="AG95" i="7" s="1"/>
  <c r="W91" i="22"/>
  <c r="X91" i="22" s="1"/>
  <c r="W98" i="7"/>
  <c r="X97" i="7"/>
  <c r="Y97" i="7" s="1"/>
  <c r="Z97" i="7" s="1"/>
  <c r="V97" i="7"/>
  <c r="N95" i="7"/>
  <c r="N96" i="7" s="1"/>
  <c r="T97" i="7"/>
  <c r="L97" i="7" s="1"/>
  <c r="CC97" i="7"/>
  <c r="CD97" i="7" s="1"/>
  <c r="CE97" i="7" s="1"/>
  <c r="CB98" i="7"/>
  <c r="CA97" i="7"/>
  <c r="BQ95" i="7"/>
  <c r="BS95" i="7" s="1"/>
  <c r="AM96" i="7"/>
  <c r="AE96" i="7" s="1"/>
  <c r="BY96" i="7"/>
  <c r="BQ96" i="7" s="1"/>
  <c r="BH97" i="7"/>
  <c r="BI98" i="7"/>
  <c r="BJ97" i="7"/>
  <c r="BK97" i="7" s="1"/>
  <c r="BL97" i="7" s="1"/>
  <c r="R96" i="7" l="1"/>
  <c r="Y91" i="22"/>
  <c r="AZ96" i="7"/>
  <c r="AZ97" i="7" s="1"/>
  <c r="M97" i="7"/>
  <c r="Q97" i="7" s="1"/>
  <c r="R97" i="7" s="1"/>
  <c r="AY97" i="7"/>
  <c r="BC97" i="7" s="1"/>
  <c r="BD97" i="7" s="1"/>
  <c r="AF96" i="7"/>
  <c r="AJ96" i="7" s="1"/>
  <c r="CL95" i="7"/>
  <c r="N97" i="7"/>
  <c r="CJ96" i="7"/>
  <c r="CO96" i="7" s="1"/>
  <c r="CP96" i="7" s="1"/>
  <c r="BS96" i="7"/>
  <c r="F98" i="7"/>
  <c r="G98" i="7" s="1"/>
  <c r="AM97" i="7"/>
  <c r="AF97" i="7" s="1"/>
  <c r="W92" i="22"/>
  <c r="X92" i="22" s="1"/>
  <c r="X98" i="7"/>
  <c r="V98" i="7"/>
  <c r="CC98" i="7"/>
  <c r="CD98" i="7" s="1"/>
  <c r="CE98" i="7" s="1"/>
  <c r="CA98" i="7"/>
  <c r="BR96" i="7"/>
  <c r="BV96" i="7" s="1"/>
  <c r="CR97" i="7"/>
  <c r="CK97" i="7" s="1"/>
  <c r="AG96" i="7"/>
  <c r="BF98" i="7"/>
  <c r="AX98" i="7" s="1"/>
  <c r="AJ95" i="7"/>
  <c r="AK95" i="7" s="1"/>
  <c r="BY97" i="7"/>
  <c r="BR97" i="7" s="1"/>
  <c r="BJ98" i="7"/>
  <c r="BK98" i="7" s="1"/>
  <c r="BL98" i="7" s="1"/>
  <c r="BH98" i="7"/>
  <c r="BV95" i="7"/>
  <c r="BW95" i="7" s="1"/>
  <c r="I15" i="26"/>
  <c r="I21" i="26"/>
  <c r="I30" i="22" l="1"/>
  <c r="BW96" i="7"/>
  <c r="CL96" i="7"/>
  <c r="AE97" i="7"/>
  <c r="AJ97" i="7" s="1"/>
  <c r="AK97" i="7" s="1"/>
  <c r="AK96" i="7"/>
  <c r="J21" i="26"/>
  <c r="C14" i="22"/>
  <c r="AT9" i="7"/>
  <c r="BA98" i="7"/>
  <c r="BQ97" i="7"/>
  <c r="BV97" i="7" s="1"/>
  <c r="BW97" i="7" s="1"/>
  <c r="CR98" i="7"/>
  <c r="CJ98" i="7" s="1"/>
  <c r="CJ97" i="7"/>
  <c r="CO97" i="7" s="1"/>
  <c r="CP97" i="7" s="1"/>
  <c r="Y98" i="7"/>
  <c r="Z98" i="7" s="1"/>
  <c r="BY98" i="7"/>
  <c r="BR98" i="7" s="1"/>
  <c r="AY98" i="7"/>
  <c r="BC98" i="7" s="1"/>
  <c r="BD98" i="7" s="1"/>
  <c r="AZ98" i="7"/>
  <c r="T98" i="7"/>
  <c r="M98" i="7" s="1"/>
  <c r="M23" i="26"/>
  <c r="M25" i="26"/>
  <c r="N23" i="26"/>
  <c r="O22" i="26"/>
  <c r="N24" i="26"/>
  <c r="N25" i="26"/>
  <c r="I16" i="26"/>
  <c r="M24" i="26"/>
  <c r="M22" i="26"/>
  <c r="N22" i="26"/>
  <c r="O24" i="26"/>
  <c r="P22" i="26"/>
  <c r="P23" i="26"/>
  <c r="O25" i="26"/>
  <c r="O23" i="26"/>
  <c r="P24" i="26"/>
  <c r="P25" i="26"/>
  <c r="S73" i="22" l="1"/>
  <c r="S74" i="22"/>
  <c r="S75" i="22"/>
  <c r="S76" i="22"/>
  <c r="S77" i="22"/>
  <c r="S78" i="22"/>
  <c r="S79" i="22"/>
  <c r="S80" i="22"/>
  <c r="S81" i="22"/>
  <c r="S82" i="22"/>
  <c r="S83" i="22"/>
  <c r="S84" i="22"/>
  <c r="S85" i="22"/>
  <c r="S86" i="22"/>
  <c r="S87" i="22"/>
  <c r="S88" i="22"/>
  <c r="S90" i="22"/>
  <c r="S89" i="22"/>
  <c r="S91" i="22"/>
  <c r="S72" i="22"/>
  <c r="Y92" i="22"/>
  <c r="L28" i="22" s="1"/>
  <c r="S57" i="22"/>
  <c r="S67" i="22"/>
  <c r="S55" i="22"/>
  <c r="S65" i="22"/>
  <c r="S62" i="22"/>
  <c r="S63" i="22"/>
  <c r="S64" i="22"/>
  <c r="S52" i="22"/>
  <c r="S56" i="22"/>
  <c r="S58" i="22"/>
  <c r="S60" i="22"/>
  <c r="S69" i="22"/>
  <c r="S66" i="22"/>
  <c r="S68" i="22"/>
  <c r="S71" i="22"/>
  <c r="S59" i="22"/>
  <c r="S61" i="22"/>
  <c r="S54" i="22"/>
  <c r="S70" i="22"/>
  <c r="S51" i="22"/>
  <c r="S53" i="22"/>
  <c r="S46" i="22"/>
  <c r="S47" i="22"/>
  <c r="S48" i="22"/>
  <c r="S50" i="22"/>
  <c r="S45" i="22"/>
  <c r="S49" i="22"/>
  <c r="S34" i="22"/>
  <c r="J16" i="26"/>
  <c r="I29" i="22" s="1"/>
  <c r="I31" i="22" s="1"/>
  <c r="S42" i="22"/>
  <c r="S15" i="22"/>
  <c r="S16" i="22"/>
  <c r="S14" i="22"/>
  <c r="S23" i="22"/>
  <c r="S24" i="22"/>
  <c r="S30" i="22"/>
  <c r="S31" i="22"/>
  <c r="S18" i="22"/>
  <c r="S32" i="22"/>
  <c r="S11" i="22"/>
  <c r="S39" i="22"/>
  <c r="S43" i="22"/>
  <c r="S38" i="22"/>
  <c r="S40" i="22"/>
  <c r="S19" i="22"/>
  <c r="S29" i="22"/>
  <c r="S35" i="22"/>
  <c r="S12" i="22"/>
  <c r="S37" i="22"/>
  <c r="S27" i="22"/>
  <c r="S13" i="22"/>
  <c r="S9" i="22"/>
  <c r="S17" i="22"/>
  <c r="S20" i="22"/>
  <c r="S25" i="22"/>
  <c r="S36" i="22"/>
  <c r="S33" i="22"/>
  <c r="S21" i="22"/>
  <c r="S41" i="22"/>
  <c r="S28" i="22"/>
  <c r="S22" i="22"/>
  <c r="S10" i="22"/>
  <c r="S44" i="22"/>
  <c r="S26" i="22"/>
  <c r="AG97" i="7"/>
  <c r="CK98" i="7"/>
  <c r="CO98" i="7" s="1"/>
  <c r="CP98" i="7" s="1"/>
  <c r="BQ98" i="7"/>
  <c r="BV98" i="7" s="1"/>
  <c r="BW98" i="7" s="1"/>
  <c r="U24" i="26"/>
  <c r="K21" i="22" s="1"/>
  <c r="T24" i="26"/>
  <c r="I21" i="22" s="1"/>
  <c r="T23" i="26"/>
  <c r="I20" i="22" s="1"/>
  <c r="V23" i="26"/>
  <c r="M20" i="22" s="1"/>
  <c r="U22" i="26"/>
  <c r="K19" i="22" s="1"/>
  <c r="V25" i="26"/>
  <c r="M22" i="22" s="1"/>
  <c r="S23" i="26"/>
  <c r="H20" i="22" s="1"/>
  <c r="U25" i="26"/>
  <c r="K22" i="22" s="1"/>
  <c r="V24" i="26"/>
  <c r="M21" i="22" s="1"/>
  <c r="V22" i="26"/>
  <c r="M19" i="22" s="1"/>
  <c r="T22" i="26"/>
  <c r="I19" i="22" s="1"/>
  <c r="S25" i="26"/>
  <c r="H22" i="22" s="1"/>
  <c r="T25" i="26"/>
  <c r="I22" i="22" s="1"/>
  <c r="S22" i="26"/>
  <c r="H19" i="22" s="1"/>
  <c r="U23" i="26"/>
  <c r="K20" i="22" s="1"/>
  <c r="S24" i="26"/>
  <c r="H21" i="22" s="1"/>
  <c r="BS97" i="7"/>
  <c r="CL97" i="7"/>
  <c r="CL98" i="7" s="1"/>
  <c r="AM98" i="7"/>
  <c r="AE98" i="7" s="1"/>
  <c r="L98" i="7"/>
  <c r="S92" i="22" s="1"/>
  <c r="T92" i="22" s="1"/>
  <c r="CF9" i="7"/>
  <c r="CM98" i="7"/>
  <c r="T88" i="22" l="1"/>
  <c r="T86" i="22"/>
  <c r="T72" i="22"/>
  <c r="T87" i="22"/>
  <c r="T85" i="22"/>
  <c r="T84" i="22"/>
  <c r="T83" i="22"/>
  <c r="T82" i="22"/>
  <c r="T81" i="22"/>
  <c r="T80" i="22"/>
  <c r="T79" i="22"/>
  <c r="T78" i="22"/>
  <c r="T77" i="22"/>
  <c r="T76" i="22"/>
  <c r="T91" i="22"/>
  <c r="T75" i="22"/>
  <c r="T89" i="22"/>
  <c r="T74" i="22"/>
  <c r="T90" i="22"/>
  <c r="T73" i="22"/>
  <c r="T59" i="22"/>
  <c r="T57" i="22"/>
  <c r="T51" i="22"/>
  <c r="T52" i="22"/>
  <c r="T54" i="22"/>
  <c r="T70" i="22"/>
  <c r="T55" i="22"/>
  <c r="T64" i="22"/>
  <c r="T58" i="22"/>
  <c r="T56" i="22"/>
  <c r="T45" i="22"/>
  <c r="T67" i="22"/>
  <c r="T66" i="22"/>
  <c r="T53" i="22"/>
  <c r="T65" i="22"/>
  <c r="T68" i="22"/>
  <c r="T61" i="22"/>
  <c r="T62" i="22"/>
  <c r="T50" i="22"/>
  <c r="T49" i="22"/>
  <c r="T60" i="22"/>
  <c r="T71" i="22"/>
  <c r="T63" i="22"/>
  <c r="T69" i="22"/>
  <c r="T46" i="22"/>
  <c r="T48" i="22"/>
  <c r="T47" i="22"/>
  <c r="E12" i="22"/>
  <c r="T43" i="22"/>
  <c r="T18" i="22"/>
  <c r="T33" i="22"/>
  <c r="T39" i="22"/>
  <c r="T32" i="22"/>
  <c r="T15" i="22"/>
  <c r="T12" i="22"/>
  <c r="T27" i="22"/>
  <c r="T42" i="22"/>
  <c r="T26" i="22"/>
  <c r="T25" i="22"/>
  <c r="T11" i="22"/>
  <c r="T44" i="22"/>
  <c r="T20" i="22"/>
  <c r="T13" i="22"/>
  <c r="T17" i="22"/>
  <c r="T31" i="22"/>
  <c r="T16" i="22"/>
  <c r="T14" i="22"/>
  <c r="T40" i="22"/>
  <c r="T34" i="22"/>
  <c r="T36" i="22"/>
  <c r="T21" i="22"/>
  <c r="T10" i="22"/>
  <c r="T38" i="22"/>
  <c r="T23" i="22"/>
  <c r="T19" i="22"/>
  <c r="T35" i="22"/>
  <c r="T28" i="22"/>
  <c r="T24" i="22"/>
  <c r="T29" i="22"/>
  <c r="T9" i="22"/>
  <c r="T22" i="22"/>
  <c r="T37" i="22"/>
  <c r="T41" i="22"/>
  <c r="T30" i="22"/>
  <c r="BM9" i="7"/>
  <c r="BT98" i="7"/>
  <c r="BS98" i="7"/>
  <c r="AF98" i="7"/>
  <c r="AJ98" i="7" s="1"/>
  <c r="AK98" i="7" s="1"/>
  <c r="AA9" i="7"/>
  <c r="AH98" i="7"/>
  <c r="AG98" i="7"/>
  <c r="H9" i="7"/>
  <c r="O98" i="7"/>
  <c r="N98" i="7"/>
  <c r="Q98" i="7"/>
  <c r="R98" i="7" s="1"/>
</calcChain>
</file>

<file path=xl/sharedStrings.xml><?xml version="1.0" encoding="utf-8"?>
<sst xmlns="http://schemas.openxmlformats.org/spreadsheetml/2006/main" count="284" uniqueCount="129">
  <si>
    <t>Notional:</t>
  </si>
  <si>
    <t>Strike:</t>
  </si>
  <si>
    <t>Daycount:</t>
  </si>
  <si>
    <t>Actual/360</t>
  </si>
  <si>
    <t>Risk-Free Rate:</t>
  </si>
  <si>
    <t>Period</t>
  </si>
  <si>
    <t>Begin</t>
  </si>
  <si>
    <t>End</t>
  </si>
  <si>
    <t>Days</t>
  </si>
  <si>
    <t>Notional</t>
  </si>
  <si>
    <t>Fwd Curve</t>
  </si>
  <si>
    <t>Vol</t>
  </si>
  <si>
    <t>Caplet</t>
  </si>
  <si>
    <t>Time</t>
  </si>
  <si>
    <t>+1 VOL</t>
  </si>
  <si>
    <t>Cap Premiums</t>
  </si>
  <si>
    <t>1YR</t>
  </si>
  <si>
    <t>2YR</t>
  </si>
  <si>
    <t>3YR</t>
  </si>
  <si>
    <t>4YR</t>
  </si>
  <si>
    <t>5YR</t>
  </si>
  <si>
    <t>ONLY CHANGE DATA IN GREEN CELLS</t>
  </si>
  <si>
    <t xml:space="preserve"> </t>
  </si>
  <si>
    <t>Vols</t>
  </si>
  <si>
    <t>Resets</t>
  </si>
  <si>
    <t>Cumulative Cost</t>
  </si>
  <si>
    <t>VEGA</t>
  </si>
  <si>
    <t>Cumulative</t>
  </si>
  <si>
    <t>Vol Adjustment</t>
  </si>
  <si>
    <t>Cap Mid</t>
  </si>
  <si>
    <t>Amort Term:</t>
  </si>
  <si>
    <t>Amort?</t>
  </si>
  <si>
    <t>Yes</t>
  </si>
  <si>
    <t>No</t>
  </si>
  <si>
    <t>Amort Rate:</t>
  </si>
  <si>
    <t>Upper Strike</t>
  </si>
  <si>
    <t>Period Cost</t>
  </si>
  <si>
    <t>Strike Adjust</t>
  </si>
  <si>
    <t>Vol Adjust</t>
  </si>
  <si>
    <t>6YR</t>
  </si>
  <si>
    <t>7YR</t>
  </si>
  <si>
    <t>Lower Strike</t>
  </si>
  <si>
    <t>PV Factor</t>
  </si>
  <si>
    <t>Date</t>
  </si>
  <si>
    <t>Caplet Cost</t>
  </si>
  <si>
    <t>Effective</t>
  </si>
  <si>
    <t>Term (Months)</t>
  </si>
  <si>
    <t>Strike</t>
  </si>
  <si>
    <t>Strike Type</t>
  </si>
  <si>
    <t>Constant Strike</t>
  </si>
  <si>
    <t>Constant</t>
  </si>
  <si>
    <t>Step-up</t>
  </si>
  <si>
    <t>Year</t>
  </si>
  <si>
    <t>Flat Fee</t>
  </si>
  <si>
    <t>24 Months</t>
  </si>
  <si>
    <t>36 Months</t>
  </si>
  <si>
    <t>Main Cap Pricer</t>
  </si>
  <si>
    <t>Calculator Mid</t>
  </si>
  <si>
    <t>Vol Adjustments</t>
  </si>
  <si>
    <t>12 Months</t>
  </si>
  <si>
    <t>48 Months</t>
  </si>
  <si>
    <t>Vol Adj.</t>
  </si>
  <si>
    <t>+1 Standard Deviation</t>
  </si>
  <si>
    <t>FOMC Dot Plot</t>
  </si>
  <si>
    <t>+25 bps</t>
  </si>
  <si>
    <t>+50 bps</t>
  </si>
  <si>
    <t>Shocks</t>
  </si>
  <si>
    <t>+2 Standard Deviation</t>
  </si>
  <si>
    <t>-1 Standard Deviation</t>
  </si>
  <si>
    <t>-2 Standard Deviation</t>
  </si>
  <si>
    <t>Dollars</t>
  </si>
  <si>
    <t>% of Notional</t>
  </si>
  <si>
    <t>GRID PRICING</t>
  </si>
  <si>
    <t>Ratings</t>
  </si>
  <si>
    <t>Boolean</t>
  </si>
  <si>
    <t>Price Type</t>
  </si>
  <si>
    <t>Vol Adjustments - Max</t>
  </si>
  <si>
    <t>Cap Strike</t>
  </si>
  <si>
    <t>Reset Date</t>
  </si>
  <si>
    <t>-2 SD</t>
  </si>
  <si>
    <t>-1 SD</t>
  </si>
  <si>
    <t>+1 SD</t>
  </si>
  <si>
    <t>+2 SD</t>
  </si>
  <si>
    <t>FOMC</t>
  </si>
  <si>
    <t>Shocked Curve</t>
  </si>
  <si>
    <t>ATM</t>
  </si>
  <si>
    <t>Projected Payout</t>
  </si>
  <si>
    <t>Rate Environment</t>
  </si>
  <si>
    <t>Market Expectations</t>
  </si>
  <si>
    <t>+25 bps Shift</t>
  </si>
  <si>
    <t>+50 bps Shift</t>
  </si>
  <si>
    <t>0.01% Strike</t>
  </si>
  <si>
    <t>4.00% Strike</t>
  </si>
  <si>
    <t>30D SOFR</t>
  </si>
  <si>
    <t>Reset</t>
  </si>
  <si>
    <t>INTEREST RATE CAP PRICER</t>
  </si>
  <si>
    <t>CAP TERMS</t>
  </si>
  <si>
    <t>Index</t>
  </si>
  <si>
    <t>Cost Display</t>
  </si>
  <si>
    <t>ANTICIPATED PROTECTION</t>
  </si>
  <si>
    <t>CAP COST</t>
  </si>
  <si>
    <t>CAPLETS</t>
  </si>
  <si>
    <t>PRICING</t>
  </si>
  <si>
    <t>PROTECTION</t>
  </si>
  <si>
    <t>% of Total Cost</t>
  </si>
  <si>
    <t>Month</t>
  </si>
  <si>
    <t>PERIOD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</si>
  <si>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</si>
  <si>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NET BENEFIT/(COST)</t>
  </si>
  <si>
    <t>1.00% Strike</t>
  </si>
  <si>
    <t>4.50% Strike</t>
  </si>
  <si>
    <t>5.00% Strike</t>
  </si>
  <si>
    <t>1M Term SOFR Resets</t>
  </si>
  <si>
    <t>Rates @ 6.00%</t>
  </si>
  <si>
    <t>LIBOR @ 6.00%</t>
  </si>
  <si>
    <t>*last updated 10/24</t>
  </si>
  <si>
    <t>FOMC Dots</t>
  </si>
  <si>
    <t>5.50% Strike</t>
  </si>
  <si>
    <t>6.00% Strike</t>
  </si>
  <si>
    <t>2.00% Strike</t>
  </si>
  <si>
    <t>2.50% Strike</t>
  </si>
  <si>
    <t>3.00% Strike</t>
  </si>
  <si>
    <t>3.50% Strike</t>
  </si>
  <si>
    <t>PV Projected Payout</t>
  </si>
  <si>
    <r>
      <t>Our cap pricing model has the capability to price 1-month Term SOFR</t>
    </r>
    <r>
      <rPr>
        <sz val="10.5"/>
        <color rgb="FFFF0000"/>
        <rFont val="Calibri"/>
        <family val="2"/>
        <scheme val="minor"/>
      </rPr>
      <t xml:space="preserve"> </t>
    </r>
    <r>
      <rPr>
        <sz val="10.5"/>
        <color theme="2" tint="-0.499984740745262"/>
        <rFont val="Calibri"/>
        <family val="2"/>
        <scheme val="minor"/>
      </rPr>
      <t xml:space="preserve">hedges out to 7 years and up to a 6.00% strike.  This tool is great for quickly ballparking various scenarios, as well as analyzing the anticipated protection or cost on a month-by-month basis.
</t>
    </r>
    <r>
      <rPr>
        <u/>
        <sz val="10.5"/>
        <color theme="2" tint="-0.499984740745262"/>
        <rFont val="Calibri"/>
        <family val="2"/>
        <scheme val="minor"/>
      </rPr>
      <t xml:space="preserve">Caveats
</t>
    </r>
    <r>
      <rPr>
        <sz val="10.5"/>
        <color theme="2" tint="-0.499984740745262"/>
        <rFont val="Calibri"/>
        <family val="2"/>
        <scheme val="minor"/>
      </rPr>
      <t>Results are for modeling purposes only.  Longer dated (&gt;4 years) and lower strike (&lt;3.00%) structures are more sensitive to pricing swings.  All pricing is exclusive of advisory fees and assumes market standard rating triggers.  If the rating requirements are higher, the cost could increase materially.  For a more precise quote please email CapTeam@Pensford.com or call (704) 887-9880.</t>
    </r>
  </si>
  <si>
    <t>Term SOFR</t>
  </si>
  <si>
    <t>PV of PAYOUT</t>
  </si>
  <si>
    <t>FV TOTAL PAYOUT</t>
  </si>
  <si>
    <t>0 on 24          0 on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</si>
</sst>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44" formatCode="_(&quot;$&quot;* #,##0.00_);_(&quot;$&quot;* \(#,##0.00\);_(&quot;$&quot;* &quot;-&quot;??_);_(@_)"/>
    <numFmt numFmtId="43" formatCode="_(* #,##0.00_);_(* \(#,##0.00\);_(* &quot;-&quot;??_);_(@_)"/>
    <numFmt numFmtId="164" formatCode="&quot;$&quot;#,##0.00"/>
    <numFmt numFmtId="165" formatCode="m/d/yy"/>
    <numFmt numFmtId="166" formatCode="&quot;$&quot;#,##0"/>
    <numFmt numFmtId="167" formatCode="0.0000%"/>
    <numFmt numFmtId="168" formatCode="_(* #,##0_);_(* \(#,##0\);_(* &quot;-&quot;??_);_(@_)"/>
    <numFmt numFmtId="169" formatCode="_(&quot;$&quot;* #,##0_);_(&quot;$&quot;* \(#,##0\);_(&quot;$&quot;* &quot;-&quot;??_);_(@_)"/>
    <numFmt numFmtId="170" formatCode="[$-409]mmmm\ d\,\ yyyy;@"/>
    <numFmt numFmtId="171" formatCode="0.000%"/>
    <numFmt numFmtId="172" formatCode="0.0000000%"/>
    <numFmt numFmtId="173" formatCode="0.00000%"/>
    <numFmt numFmtId="174" formatCode="_(* #,##0.0_);_(* \(#,##0.0\);_(* &quot;-&quot;??_);_(@_)"/>
    <numFmt numFmtId="175" formatCode="0.00000000"/>
    <numFmt numFmtId="176" formatCode="0.0000000000"/>
    <numFmt numFmtId="177" formatCode="0.0"/>
  </numFmts>
  <fonts count="40" x14ac:knownFonts="1">
    <font>
      <sz val="10"/>
      <color rgb="FF000000"/>
      <name val="Arial"/>
    </font>
    <font>
      <sz val="11"/>
      <color theme="1"/>
      <name val="Calibri"/>
      <family val="2"/>
      <scheme val="minor"/>
    </font>
    <font>
      <sz val="11"/>
      <color theme="1"/>
      <name val="Calibri"/>
      <family val="2"/>
      <scheme val="minor"/>
    </font>
    <font>
      <sz val="10"/>
      <name val="Arial"/>
      <family val="2"/>
    </font>
    <font>
      <b/>
      <sz val="10"/>
      <name val="Arial"/>
      <family val="2"/>
    </font>
    <font>
      <sz val="10"/>
      <color rgb="FF000000"/>
      <name val="Arial"/>
      <family val="2"/>
    </font>
    <font>
      <b/>
      <sz val="10"/>
      <color rgb="FF000000"/>
      <name val="Arial"/>
      <family val="2"/>
    </font>
    <font>
      <b/>
      <sz val="14"/>
      <color rgb="FF000000"/>
      <name val="Arial"/>
      <family val="2"/>
    </font>
    <font>
      <sz val="10"/>
      <color rgb="FF000000"/>
      <name val="Arial"/>
      <family val="2"/>
    </font>
    <font>
      <b/>
      <sz val="11"/>
      <color rgb="FF000000"/>
      <name val="Garamond"/>
      <family val="1"/>
    </font>
    <font>
      <sz val="11"/>
      <color rgb="FF000000"/>
      <name val="Garamond"/>
      <family val="1"/>
    </font>
    <font>
      <sz val="11"/>
      <name val="Garamond"/>
      <family val="1"/>
    </font>
    <font>
      <u/>
      <sz val="10"/>
      <color theme="10"/>
      <name val="Arial"/>
      <family val="2"/>
    </font>
    <font>
      <b/>
      <sz val="11"/>
      <color indexed="9"/>
      <name val="Calibri"/>
      <family val="2"/>
    </font>
    <font>
      <b/>
      <sz val="11"/>
      <name val="Garamond"/>
      <family val="1"/>
    </font>
    <font>
      <sz val="11"/>
      <color theme="0"/>
      <name val="Garamond"/>
      <family val="1"/>
    </font>
    <font>
      <sz val="11"/>
      <color theme="1"/>
      <name val="Garamond"/>
      <family val="1"/>
    </font>
    <font>
      <b/>
      <sz val="11"/>
      <color indexed="9"/>
      <name val="Garamond"/>
      <family val="1"/>
    </font>
    <font>
      <b/>
      <sz val="12"/>
      <name val="Calibri"/>
      <family val="2"/>
      <scheme val="minor"/>
    </font>
    <font>
      <sz val="11"/>
      <name val="Calibri"/>
      <family val="2"/>
      <scheme val="minor"/>
    </font>
    <font>
      <b/>
      <sz val="11"/>
      <name val="Calibri"/>
      <family val="2"/>
      <scheme val="minor"/>
    </font>
    <font>
      <sz val="12"/>
      <name val="Calibri"/>
      <family val="2"/>
      <scheme val="minor"/>
    </font>
    <font>
      <b/>
      <sz val="14"/>
      <name val="Calibri"/>
      <family val="2"/>
      <scheme val="minor"/>
    </font>
    <font>
      <b/>
      <sz val="12"/>
      <color theme="0"/>
      <name val="Calibri"/>
      <family val="2"/>
      <scheme val="minor"/>
    </font>
    <font>
      <b/>
      <sz val="20"/>
      <color rgb="FF336600"/>
      <name val="Calibri"/>
      <family val="2"/>
      <scheme val="minor"/>
    </font>
    <font>
      <b/>
      <sz val="12"/>
      <color rgb="FFC00000"/>
      <name val="Calibri"/>
      <family val="2"/>
      <scheme val="minor"/>
    </font>
    <font>
      <b/>
      <sz val="15"/>
      <name val="Calibri"/>
      <family val="2"/>
      <scheme val="minor"/>
    </font>
    <font>
      <u/>
      <sz val="11"/>
      <name val="Calibri"/>
      <family val="2"/>
      <scheme val="minor"/>
    </font>
    <font>
      <sz val="12"/>
      <color rgb="FF000000"/>
      <name val="Arial"/>
      <family val="2"/>
    </font>
    <font>
      <sz val="10.5"/>
      <name val="Calibri"/>
      <family val="2"/>
      <scheme val="minor"/>
    </font>
    <font>
      <sz val="6"/>
      <color theme="6"/>
      <name val="Calibri"/>
      <family val="2"/>
      <scheme val="minor"/>
    </font>
    <font>
      <sz val="10.5"/>
      <color theme="2" tint="-0.499984740745262"/>
      <name val="Calibri"/>
      <family val="2"/>
      <scheme val="minor"/>
    </font>
    <font>
      <u/>
      <sz val="10.5"/>
      <color theme="2" tint="-0.499984740745262"/>
      <name val="Calibri"/>
      <family val="2"/>
      <scheme val="minor"/>
    </font>
    <font>
      <i/>
      <sz val="10.5"/>
      <color theme="2" tint="-0.499984740745262"/>
      <name val="Calibri"/>
      <family val="2"/>
      <scheme val="minor"/>
    </font>
    <font>
      <sz val="10"/>
      <color rgb="FF000000"/>
      <name val="Arial"/>
      <family val="2"/>
    </font>
    <font>
      <sz val="11"/>
      <color rgb="FFFF0000"/>
      <name val="Garamond"/>
      <family val="1"/>
    </font>
    <font>
      <sz val="10"/>
      <color rgb="FFFF0000"/>
      <name val="Arial"/>
      <family val="2"/>
    </font>
    <font>
      <b/>
      <sz val="11"/>
      <color theme="0"/>
      <name val="Garamond"/>
      <family val="1"/>
    </font>
    <font>
      <sz val="10.5"/>
      <color rgb="FFFF0000"/>
      <name val="Calibri"/>
      <family val="2"/>
      <scheme val="minor"/>
    </font>
    <font>
      <sz val="12"/>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
      <patternFill patternType="solid">
        <fgColor rgb="FF4F81BD"/>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70C0"/>
      </top>
      <bottom style="thin">
        <color theme="2" tint="-0.499984740745262"/>
      </bottom>
      <diagonal/>
    </border>
    <border>
      <left/>
      <right/>
      <top style="thin">
        <color theme="2" tint="-0.499984740745262"/>
      </top>
      <bottom/>
      <diagonal/>
    </border>
    <border>
      <left style="thin">
        <color indexed="64"/>
      </left>
      <right/>
      <top/>
      <bottom/>
      <diagonal/>
    </border>
    <border>
      <left/>
      <right/>
      <top/>
      <bottom style="medium">
        <color theme="8"/>
      </bottom>
      <diagonal/>
    </border>
    <border>
      <left/>
      <right/>
      <top/>
      <bottom style="thin">
        <color theme="2" tint="-0.499984740745262"/>
      </bottom>
      <diagonal/>
    </border>
    <border>
      <left/>
      <right/>
      <top/>
      <bottom style="medium">
        <color theme="2" tint="-0.499984740745262"/>
      </bottom>
      <diagonal/>
    </border>
    <border>
      <left/>
      <right style="medium">
        <color theme="2" tint="-0.499984740745262"/>
      </right>
      <top style="medium">
        <color theme="2" tint="-0.499984740745262"/>
      </top>
      <bottom/>
      <diagonal/>
    </border>
    <border>
      <left/>
      <right style="medium">
        <color theme="2" tint="-0.499984740745262"/>
      </right>
      <top/>
      <bottom style="medium">
        <color theme="2" tint="-0.499984740745262"/>
      </bottom>
      <diagonal/>
    </border>
    <border>
      <left style="medium">
        <color theme="3"/>
      </left>
      <right/>
      <top style="medium">
        <color theme="3"/>
      </top>
      <bottom/>
      <diagonal/>
    </border>
    <border>
      <left/>
      <right/>
      <top style="medium">
        <color theme="3"/>
      </top>
      <bottom/>
      <diagonal/>
    </border>
    <border>
      <left style="medium">
        <color theme="3"/>
      </left>
      <right/>
      <top/>
      <bottom style="medium">
        <color theme="3"/>
      </bottom>
      <diagonal/>
    </border>
    <border>
      <left/>
      <right/>
      <top/>
      <bottom style="medium">
        <color theme="3"/>
      </bottom>
      <diagonal/>
    </border>
    <border>
      <left style="medium">
        <color theme="2" tint="-0.499984740745262"/>
      </left>
      <right/>
      <top/>
      <bottom/>
      <diagonal/>
    </border>
    <border>
      <left/>
      <right style="medium">
        <color theme="2" tint="-0.499984740745262"/>
      </right>
      <top/>
      <bottom/>
      <diagonal/>
    </border>
    <border>
      <left style="medium">
        <color theme="2" tint="-0.499984740745262"/>
      </left>
      <right/>
      <top/>
      <bottom style="medium">
        <color theme="2" tint="-0.499984740745262"/>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right/>
      <top/>
      <bottom style="medium">
        <color theme="6"/>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s>
  <cellStyleXfs count="12">
    <xf numFmtId="170" fontId="0" fillId="0" borderId="0"/>
    <xf numFmtId="43" fontId="5" fillId="0" borderId="0" applyFont="0" applyFill="0" applyBorder="0" applyAlignment="0" applyProtection="0"/>
    <xf numFmtId="44" fontId="5" fillId="0" borderId="0" applyFont="0" applyFill="0" applyBorder="0" applyAlignment="0" applyProtection="0"/>
    <xf numFmtId="9" fontId="8" fillId="0" borderId="0" applyFont="0" applyFill="0" applyBorder="0" applyAlignment="0" applyProtection="0"/>
    <xf numFmtId="170" fontId="12" fillId="0" borderId="0" applyNumberFormat="0" applyFill="0" applyBorder="0" applyAlignment="0" applyProtection="0"/>
    <xf numFmtId="170" fontId="2" fillId="0" borderId="0"/>
    <xf numFmtId="170" fontId="13" fillId="8" borderId="0"/>
    <xf numFmtId="9" fontId="2" fillId="0" borderId="0" applyFont="0" applyFill="0" applyBorder="0" applyAlignment="0" applyProtection="0"/>
    <xf numFmtId="170" fontId="1" fillId="0" borderId="0"/>
    <xf numFmtId="9" fontId="1" fillId="0" borderId="0" applyFont="0" applyFill="0" applyBorder="0" applyAlignment="0" applyProtection="0"/>
    <xf numFmtId="170" fontId="34" fillId="0" borderId="0"/>
    <xf numFmtId="9" fontId="5" fillId="0" borderId="0" applyFont="0" applyFill="0" applyBorder="0" applyAlignment="0" applyProtection="0"/>
  </cellStyleXfs>
  <cellXfs count="228">
    <xf numFmtId="170" fontId="0" fillId="0" borderId="0" xfId="0"/>
    <xf numFmtId="170" fontId="10" fillId="0" borderId="0" xfId="0" applyFont="1" applyProtection="1">
      <protection hidden="1"/>
    </xf>
    <xf numFmtId="170" fontId="11" fillId="0" borderId="0" xfId="0" applyFont="1" applyProtection="1">
      <protection hidden="1"/>
    </xf>
    <xf numFmtId="10" fontId="10" fillId="0" borderId="0" xfId="0" applyNumberFormat="1" applyFont="1" applyProtection="1">
      <protection hidden="1"/>
    </xf>
    <xf numFmtId="43" fontId="10" fillId="0" borderId="0" xfId="1" applyFont="1" applyProtection="1">
      <protection hidden="1"/>
    </xf>
    <xf numFmtId="170" fontId="10" fillId="0" borderId="0" xfId="0" quotePrefix="1" applyFont="1" applyProtection="1">
      <protection hidden="1"/>
    </xf>
    <xf numFmtId="170" fontId="10" fillId="5" borderId="0" xfId="0" applyFont="1" applyFill="1" applyProtection="1">
      <protection hidden="1"/>
    </xf>
    <xf numFmtId="43" fontId="10" fillId="5" borderId="0" xfId="1" applyFont="1" applyFill="1" applyProtection="1">
      <protection hidden="1"/>
    </xf>
    <xf numFmtId="6" fontId="10" fillId="0" borderId="0" xfId="0" applyNumberFormat="1" applyFont="1" applyProtection="1">
      <protection hidden="1"/>
    </xf>
    <xf numFmtId="169" fontId="10" fillId="7" borderId="0" xfId="0" applyNumberFormat="1" applyFont="1" applyFill="1" applyAlignment="1" applyProtection="1">
      <alignment horizontal="left"/>
      <protection hidden="1"/>
    </xf>
    <xf numFmtId="170" fontId="11" fillId="0" borderId="2" xfId="0" applyFont="1" applyBorder="1" applyProtection="1">
      <protection hidden="1"/>
    </xf>
    <xf numFmtId="170" fontId="11" fillId="0" borderId="4" xfId="0" applyFont="1" applyBorder="1" applyProtection="1">
      <protection hidden="1"/>
    </xf>
    <xf numFmtId="10" fontId="14" fillId="0" borderId="0" xfId="0" applyNumberFormat="1" applyFont="1" applyAlignment="1" applyProtection="1">
      <alignment horizontal="left"/>
      <protection hidden="1"/>
    </xf>
    <xf numFmtId="170" fontId="9" fillId="0" borderId="1" xfId="0" applyFont="1" applyBorder="1" applyAlignment="1" applyProtection="1">
      <alignment horizontal="right"/>
      <protection hidden="1"/>
    </xf>
    <xf numFmtId="170" fontId="14" fillId="0" borderId="6" xfId="0" applyFont="1" applyBorder="1" applyProtection="1">
      <protection hidden="1"/>
    </xf>
    <xf numFmtId="169" fontId="11" fillId="0" borderId="0" xfId="0" applyNumberFormat="1" applyFont="1" applyAlignment="1" applyProtection="1">
      <alignment horizontal="left"/>
      <protection hidden="1"/>
    </xf>
    <xf numFmtId="10" fontId="14" fillId="0" borderId="7" xfId="0" applyNumberFormat="1" applyFont="1" applyBorder="1" applyAlignment="1" applyProtection="1">
      <alignment horizontal="left"/>
      <protection hidden="1"/>
    </xf>
    <xf numFmtId="169" fontId="11" fillId="0" borderId="7" xfId="0" applyNumberFormat="1" applyFont="1" applyBorder="1" applyAlignment="1" applyProtection="1">
      <alignment horizontal="left"/>
      <protection hidden="1"/>
    </xf>
    <xf numFmtId="14" fontId="11" fillId="4" borderId="0" xfId="0" applyNumberFormat="1" applyFont="1" applyFill="1" applyAlignment="1" applyProtection="1">
      <alignment horizontal="center" vertical="center"/>
      <protection hidden="1"/>
    </xf>
    <xf numFmtId="43" fontId="16" fillId="0" borderId="0" xfId="1" applyFont="1" applyProtection="1">
      <protection hidden="1"/>
    </xf>
    <xf numFmtId="170" fontId="15" fillId="6" borderId="0" xfId="5" applyFont="1" applyFill="1" applyProtection="1">
      <protection hidden="1"/>
    </xf>
    <xf numFmtId="170" fontId="16" fillId="0" borderId="0" xfId="5" applyFont="1" applyProtection="1">
      <protection hidden="1"/>
    </xf>
    <xf numFmtId="170" fontId="16" fillId="0" borderId="0" xfId="5" quotePrefix="1" applyFont="1" applyProtection="1">
      <protection hidden="1"/>
    </xf>
    <xf numFmtId="2" fontId="16" fillId="0" borderId="0" xfId="5" applyNumberFormat="1" applyFont="1" applyProtection="1">
      <protection hidden="1"/>
    </xf>
    <xf numFmtId="0" fontId="10" fillId="0" borderId="0" xfId="0" applyNumberFormat="1" applyFont="1" applyProtection="1">
      <protection hidden="1"/>
    </xf>
    <xf numFmtId="0" fontId="14" fillId="0" borderId="6" xfId="0" applyNumberFormat="1" applyFont="1" applyBorder="1" applyAlignment="1" applyProtection="1">
      <alignment horizontal="center" vertical="center"/>
      <protection hidden="1"/>
    </xf>
    <xf numFmtId="0" fontId="11" fillId="0" borderId="3" xfId="0" applyNumberFormat="1" applyFont="1" applyBorder="1" applyProtection="1">
      <protection hidden="1"/>
    </xf>
    <xf numFmtId="10" fontId="10" fillId="0" borderId="0" xfId="3" applyNumberFormat="1" applyFont="1" applyProtection="1">
      <protection hidden="1"/>
    </xf>
    <xf numFmtId="0" fontId="17" fillId="6" borderId="0" xfId="6" applyNumberFormat="1" applyFont="1" applyFill="1" applyAlignment="1" applyProtection="1">
      <alignment horizontal="center"/>
      <protection hidden="1"/>
    </xf>
    <xf numFmtId="0" fontId="17" fillId="6" borderId="8" xfId="6" applyNumberFormat="1" applyFont="1" applyFill="1" applyBorder="1" applyAlignment="1" applyProtection="1">
      <alignment horizontal="center"/>
      <protection hidden="1"/>
    </xf>
    <xf numFmtId="0" fontId="16" fillId="0" borderId="0" xfId="8" applyNumberFormat="1" applyFont="1" applyProtection="1">
      <protection hidden="1"/>
    </xf>
    <xf numFmtId="0" fontId="17" fillId="6" borderId="8" xfId="6" applyNumberFormat="1" applyFont="1" applyFill="1" applyBorder="1" applyAlignment="1" applyProtection="1">
      <alignment horizontal="center" vertical="center"/>
      <protection hidden="1"/>
    </xf>
    <xf numFmtId="0" fontId="17" fillId="6" borderId="0" xfId="6" quotePrefix="1" applyNumberFormat="1" applyFont="1" applyFill="1" applyAlignment="1" applyProtection="1">
      <alignment horizontal="center" vertical="center"/>
      <protection hidden="1"/>
    </xf>
    <xf numFmtId="14" fontId="16" fillId="0" borderId="0" xfId="8" applyNumberFormat="1" applyFont="1" applyAlignment="1" applyProtection="1">
      <alignment horizontal="center" vertical="center"/>
      <protection hidden="1"/>
    </xf>
    <xf numFmtId="10" fontId="16" fillId="0" borderId="0" xfId="8" applyNumberFormat="1" applyFont="1" applyProtection="1">
      <protection hidden="1"/>
    </xf>
    <xf numFmtId="0" fontId="16" fillId="0" borderId="0" xfId="8" applyNumberFormat="1" applyFont="1" applyAlignment="1" applyProtection="1">
      <alignment horizontal="center" vertical="center"/>
      <protection hidden="1"/>
    </xf>
    <xf numFmtId="0" fontId="10" fillId="0" borderId="0" xfId="9" applyNumberFormat="1" applyFont="1" applyProtection="1">
      <protection hidden="1"/>
    </xf>
    <xf numFmtId="10" fontId="10" fillId="0" borderId="0" xfId="9" applyNumberFormat="1" applyFont="1" applyProtection="1">
      <protection hidden="1"/>
    </xf>
    <xf numFmtId="169" fontId="16" fillId="0" borderId="0" xfId="1" applyNumberFormat="1" applyFont="1" applyProtection="1">
      <protection hidden="1"/>
    </xf>
    <xf numFmtId="43" fontId="11" fillId="0" borderId="5" xfId="1" applyFont="1" applyBorder="1" applyProtection="1">
      <protection hidden="1"/>
    </xf>
    <xf numFmtId="14" fontId="16" fillId="0" borderId="0" xfId="8" applyNumberFormat="1" applyFont="1" applyProtection="1">
      <protection hidden="1"/>
    </xf>
    <xf numFmtId="169" fontId="16" fillId="0" borderId="0" xfId="5" applyNumberFormat="1" applyFont="1" applyProtection="1">
      <protection hidden="1"/>
    </xf>
    <xf numFmtId="0" fontId="16" fillId="0" borderId="0" xfId="1" applyNumberFormat="1" applyFont="1" applyAlignment="1" applyProtection="1">
      <alignment horizontal="center"/>
      <protection hidden="1"/>
    </xf>
    <xf numFmtId="0" fontId="11" fillId="0" borderId="0" xfId="1" applyNumberFormat="1" applyFont="1" applyAlignment="1" applyProtection="1">
      <alignment horizontal="center"/>
      <protection hidden="1"/>
    </xf>
    <xf numFmtId="0" fontId="3" fillId="0" borderId="0" xfId="3" applyNumberFormat="1" applyFont="1" applyFill="1"/>
    <xf numFmtId="170" fontId="3" fillId="0" borderId="0" xfId="0" applyFont="1"/>
    <xf numFmtId="170" fontId="3" fillId="0" borderId="0" xfId="0" applyFont="1" applyAlignment="1">
      <alignment horizontal="center" vertical="center"/>
    </xf>
    <xf numFmtId="43" fontId="3" fillId="0" borderId="0" xfId="1" applyFont="1" applyFill="1"/>
    <xf numFmtId="170" fontId="4" fillId="0" borderId="1" xfId="0" applyFont="1" applyBorder="1"/>
    <xf numFmtId="170" fontId="3" fillId="0" borderId="1" xfId="0" applyFont="1" applyBorder="1"/>
    <xf numFmtId="10" fontId="3" fillId="0" borderId="0" xfId="0" applyNumberFormat="1" applyFont="1" applyAlignment="1">
      <alignment horizontal="center" vertical="center"/>
    </xf>
    <xf numFmtId="170" fontId="3" fillId="0" borderId="0" xfId="3" applyNumberFormat="1" applyFont="1" applyFill="1" applyAlignment="1">
      <alignment horizontal="center"/>
    </xf>
    <xf numFmtId="0" fontId="3" fillId="0" borderId="0" xfId="0" applyNumberFormat="1" applyFont="1"/>
    <xf numFmtId="170" fontId="3" fillId="0" borderId="0" xfId="3" applyNumberFormat="1" applyFont="1" applyFill="1"/>
    <xf numFmtId="164" fontId="4" fillId="0" borderId="0" xfId="0" applyNumberFormat="1" applyFont="1"/>
    <xf numFmtId="170" fontId="3" fillId="0" borderId="0" xfId="0" applyFont="1" applyAlignment="1">
      <alignment horizontal="center"/>
    </xf>
    <xf numFmtId="172" fontId="3" fillId="0" borderId="0" xfId="0" applyNumberFormat="1" applyFont="1"/>
    <xf numFmtId="167" fontId="3" fillId="0" borderId="0" xfId="0" applyNumberFormat="1" applyFont="1"/>
    <xf numFmtId="10" fontId="3" fillId="0" borderId="0" xfId="0" applyNumberFormat="1" applyFont="1" applyAlignment="1">
      <alignment horizontal="center"/>
    </xf>
    <xf numFmtId="10" fontId="3" fillId="0" borderId="0" xfId="3" applyNumberFormat="1" applyFont="1" applyFill="1"/>
    <xf numFmtId="171" fontId="3" fillId="0" borderId="0" xfId="3" applyNumberFormat="1" applyFont="1" applyFill="1"/>
    <xf numFmtId="10" fontId="3" fillId="0" borderId="0" xfId="0" applyNumberFormat="1" applyFont="1"/>
    <xf numFmtId="173" fontId="3" fillId="0" borderId="0" xfId="0" applyNumberFormat="1" applyFont="1"/>
    <xf numFmtId="164" fontId="3" fillId="0" borderId="0" xfId="0" applyNumberFormat="1" applyFont="1"/>
    <xf numFmtId="1" fontId="3" fillId="0" borderId="0" xfId="0" applyNumberFormat="1" applyFont="1"/>
    <xf numFmtId="170" fontId="3" fillId="0" borderId="0" xfId="0" applyFont="1" applyAlignment="1">
      <alignment horizontal="right"/>
    </xf>
    <xf numFmtId="0" fontId="4" fillId="0" borderId="0" xfId="0" applyNumberFormat="1" applyFont="1"/>
    <xf numFmtId="170" fontId="4" fillId="0" borderId="0" xfId="0" applyFont="1"/>
    <xf numFmtId="170" fontId="4" fillId="0" borderId="1" xfId="0" applyFont="1" applyBorder="1" applyAlignment="1">
      <alignment horizontal="center"/>
    </xf>
    <xf numFmtId="170" fontId="4" fillId="0" borderId="1" xfId="0" quotePrefix="1" applyFont="1" applyBorder="1" applyAlignment="1">
      <alignment horizontal="center"/>
    </xf>
    <xf numFmtId="165" fontId="3" fillId="0" borderId="0" xfId="0" applyNumberFormat="1" applyFont="1"/>
    <xf numFmtId="14" fontId="3" fillId="0" borderId="0" xfId="0" applyNumberFormat="1" applyFont="1"/>
    <xf numFmtId="3" fontId="3" fillId="0" borderId="0" xfId="0" applyNumberFormat="1" applyFont="1"/>
    <xf numFmtId="4" fontId="3" fillId="0" borderId="0" xfId="0" applyNumberFormat="1" applyFont="1"/>
    <xf numFmtId="166" fontId="3" fillId="0" borderId="0" xfId="0" applyNumberFormat="1" applyFont="1"/>
    <xf numFmtId="0" fontId="3" fillId="0" borderId="1" xfId="0" applyNumberFormat="1" applyFont="1" applyBorder="1"/>
    <xf numFmtId="14" fontId="3" fillId="0" borderId="1" xfId="0" applyNumberFormat="1" applyFont="1" applyBorder="1"/>
    <xf numFmtId="3" fontId="3" fillId="0" borderId="1" xfId="0" applyNumberFormat="1" applyFont="1" applyBorder="1"/>
    <xf numFmtId="4" fontId="3" fillId="0" borderId="1" xfId="0" applyNumberFormat="1" applyFont="1" applyBorder="1"/>
    <xf numFmtId="166" fontId="3" fillId="0" borderId="1" xfId="0" applyNumberFormat="1" applyFont="1" applyBorder="1"/>
    <xf numFmtId="10" fontId="3" fillId="0" borderId="1" xfId="3" applyNumberFormat="1" applyFont="1" applyFill="1" applyBorder="1"/>
    <xf numFmtId="167" fontId="3" fillId="0" borderId="1" xfId="0" applyNumberFormat="1" applyFont="1" applyBorder="1"/>
    <xf numFmtId="10" fontId="3" fillId="0" borderId="1" xfId="0" applyNumberFormat="1" applyFont="1" applyBorder="1"/>
    <xf numFmtId="43" fontId="3" fillId="0" borderId="1" xfId="1" applyFont="1" applyFill="1" applyBorder="1"/>
    <xf numFmtId="164" fontId="3" fillId="0" borderId="1" xfId="0" applyNumberFormat="1" applyFont="1" applyBorder="1"/>
    <xf numFmtId="170" fontId="18" fillId="0" borderId="0" xfId="0" applyFont="1" applyProtection="1">
      <protection hidden="1"/>
    </xf>
    <xf numFmtId="170" fontId="19" fillId="0" borderId="0" xfId="0" applyFont="1" applyAlignment="1" applyProtection="1">
      <alignment vertical="center" textRotation="90"/>
      <protection hidden="1"/>
    </xf>
    <xf numFmtId="170" fontId="20" fillId="0" borderId="0" xfId="0" applyFont="1" applyProtection="1">
      <protection hidden="1"/>
    </xf>
    <xf numFmtId="170" fontId="19" fillId="0" borderId="0" xfId="0" applyFont="1" applyProtection="1">
      <protection hidden="1"/>
    </xf>
    <xf numFmtId="170" fontId="21" fillId="0" borderId="0" xfId="0" applyFont="1" applyProtection="1">
      <protection hidden="1"/>
    </xf>
    <xf numFmtId="170" fontId="19" fillId="0" borderId="0" xfId="0" applyFont="1" applyAlignment="1" applyProtection="1">
      <alignment wrapText="1"/>
      <protection hidden="1"/>
    </xf>
    <xf numFmtId="44" fontId="19" fillId="0" borderId="0" xfId="2" applyFont="1" applyAlignment="1" applyProtection="1">
      <alignment vertical="top" wrapText="1"/>
      <protection hidden="1"/>
    </xf>
    <xf numFmtId="170" fontId="21" fillId="0" borderId="0" xfId="0" applyFont="1" applyAlignment="1" applyProtection="1">
      <alignment vertical="center"/>
      <protection hidden="1"/>
    </xf>
    <xf numFmtId="170" fontId="22" fillId="0" borderId="0" xfId="0" applyFont="1" applyAlignment="1" applyProtection="1">
      <alignment vertical="center"/>
      <protection hidden="1"/>
    </xf>
    <xf numFmtId="170" fontId="18" fillId="0" borderId="9" xfId="0" applyFont="1" applyBorder="1" applyProtection="1">
      <protection hidden="1"/>
    </xf>
    <xf numFmtId="170" fontId="18" fillId="0" borderId="10" xfId="0" applyFont="1" applyBorder="1" applyAlignment="1" applyProtection="1">
      <alignment horizontal="center"/>
      <protection hidden="1"/>
    </xf>
    <xf numFmtId="170" fontId="18" fillId="0" borderId="10" xfId="0" applyFont="1" applyBorder="1" applyProtection="1">
      <protection hidden="1"/>
    </xf>
    <xf numFmtId="170" fontId="19" fillId="0" borderId="0" xfId="0" applyFont="1" applyAlignment="1" applyProtection="1">
      <alignment vertical="top"/>
      <protection hidden="1"/>
    </xf>
    <xf numFmtId="170" fontId="21" fillId="0" borderId="0" xfId="0" applyFont="1" applyAlignment="1" applyProtection="1">
      <alignment horizontal="center"/>
      <protection hidden="1"/>
    </xf>
    <xf numFmtId="170" fontId="21" fillId="0" borderId="24" xfId="0" applyFont="1" applyBorder="1" applyProtection="1">
      <protection hidden="1"/>
    </xf>
    <xf numFmtId="170" fontId="18" fillId="0" borderId="0" xfId="0" applyFont="1" applyAlignment="1" applyProtection="1">
      <alignment vertical="center"/>
      <protection hidden="1"/>
    </xf>
    <xf numFmtId="166" fontId="21" fillId="0" borderId="0" xfId="0" applyNumberFormat="1" applyFont="1" applyAlignment="1" applyProtection="1">
      <alignment horizontal="center" vertical="center"/>
      <protection hidden="1"/>
    </xf>
    <xf numFmtId="10" fontId="21" fillId="0" borderId="0" xfId="3" applyNumberFormat="1" applyFont="1" applyProtection="1">
      <protection hidden="1"/>
    </xf>
    <xf numFmtId="170" fontId="27" fillId="0" borderId="0" xfId="4" applyFont="1" applyProtection="1">
      <protection hidden="1"/>
    </xf>
    <xf numFmtId="170" fontId="19" fillId="0" borderId="24" xfId="0" applyFont="1" applyBorder="1" applyProtection="1">
      <protection hidden="1"/>
    </xf>
    <xf numFmtId="170" fontId="19" fillId="0" borderId="11" xfId="0" applyFont="1" applyBorder="1" applyAlignment="1" applyProtection="1">
      <alignment wrapText="1"/>
      <protection hidden="1"/>
    </xf>
    <xf numFmtId="0" fontId="23" fillId="6" borderId="0" xfId="0" applyNumberFormat="1" applyFont="1" applyFill="1" applyAlignment="1" applyProtection="1">
      <alignment horizontal="center"/>
      <protection hidden="1"/>
    </xf>
    <xf numFmtId="170" fontId="23" fillId="6" borderId="0" xfId="0" applyFont="1" applyFill="1" applyAlignment="1" applyProtection="1">
      <alignment horizontal="center"/>
      <protection hidden="1"/>
    </xf>
    <xf numFmtId="1" fontId="21" fillId="0" borderId="0" xfId="0" applyNumberFormat="1" applyFont="1" applyAlignment="1" applyProtection="1">
      <alignment horizontal="center" vertical="center"/>
      <protection hidden="1"/>
    </xf>
    <xf numFmtId="170" fontId="18" fillId="0" borderId="9" xfId="0" applyFont="1" applyBorder="1" applyAlignment="1" applyProtection="1">
      <alignment horizontal="left"/>
      <protection hidden="1"/>
    </xf>
    <xf numFmtId="170" fontId="18" fillId="0" borderId="9" xfId="0" applyFont="1" applyBorder="1" applyAlignment="1" applyProtection="1">
      <alignment horizontal="center"/>
      <protection hidden="1"/>
    </xf>
    <xf numFmtId="14" fontId="21" fillId="0" borderId="0" xfId="0" applyNumberFormat="1" applyFont="1" applyAlignment="1" applyProtection="1">
      <alignment horizontal="center"/>
      <protection hidden="1"/>
    </xf>
    <xf numFmtId="0" fontId="23" fillId="0" borderId="0" xfId="0" applyNumberFormat="1" applyFont="1" applyAlignment="1" applyProtection="1">
      <alignment horizontal="center"/>
      <protection hidden="1"/>
    </xf>
    <xf numFmtId="10" fontId="21" fillId="0" borderId="0" xfId="3" applyNumberFormat="1" applyFont="1" applyAlignment="1" applyProtection="1">
      <alignment horizontal="center" vertical="center"/>
      <protection hidden="1"/>
    </xf>
    <xf numFmtId="170" fontId="21" fillId="0" borderId="9" xfId="0" applyFont="1" applyBorder="1" applyAlignment="1" applyProtection="1">
      <alignment horizontal="center"/>
      <protection hidden="1"/>
    </xf>
    <xf numFmtId="0" fontId="18" fillId="0" borderId="0" xfId="0" applyNumberFormat="1" applyFont="1" applyAlignment="1" applyProtection="1">
      <alignment horizontal="center"/>
      <protection hidden="1"/>
    </xf>
    <xf numFmtId="0" fontId="21" fillId="0" borderId="0" xfId="0" applyNumberFormat="1" applyFont="1" applyAlignment="1" applyProtection="1">
      <alignment horizontal="center"/>
      <protection hidden="1"/>
    </xf>
    <xf numFmtId="0" fontId="18" fillId="0" borderId="11" xfId="0" applyNumberFormat="1" applyFont="1" applyBorder="1" applyAlignment="1" applyProtection="1">
      <alignment horizontal="center"/>
      <protection hidden="1"/>
    </xf>
    <xf numFmtId="170" fontId="21" fillId="0" borderId="11" xfId="0" applyFont="1" applyBorder="1" applyAlignment="1" applyProtection="1">
      <alignment horizontal="center"/>
      <protection hidden="1"/>
    </xf>
    <xf numFmtId="0" fontId="18" fillId="0" borderId="11" xfId="0" applyNumberFormat="1" applyFont="1" applyBorder="1" applyAlignment="1" applyProtection="1">
      <alignment horizontal="left"/>
      <protection hidden="1"/>
    </xf>
    <xf numFmtId="0" fontId="21" fillId="0" borderId="11" xfId="0" applyNumberFormat="1" applyFont="1" applyBorder="1" applyAlignment="1" applyProtection="1">
      <alignment horizontal="center"/>
      <protection hidden="1"/>
    </xf>
    <xf numFmtId="170" fontId="29" fillId="0" borderId="0" xfId="0" applyFont="1" applyProtection="1">
      <protection hidden="1"/>
    </xf>
    <xf numFmtId="170" fontId="29" fillId="0" borderId="0" xfId="0" quotePrefix="1" applyFont="1" applyAlignment="1" applyProtection="1">
      <alignment horizontal="left" vertical="center" wrapText="1"/>
      <protection hidden="1"/>
    </xf>
    <xf numFmtId="170" fontId="29" fillId="0" borderId="0" xfId="0" quotePrefix="1" applyFont="1" applyAlignment="1" applyProtection="1">
      <alignment vertical="center"/>
      <protection hidden="1"/>
    </xf>
    <xf numFmtId="170" fontId="29" fillId="0" borderId="0" xfId="0" quotePrefix="1" applyFont="1" applyAlignment="1" applyProtection="1">
      <alignment vertical="center" wrapText="1"/>
      <protection hidden="1"/>
    </xf>
    <xf numFmtId="170" fontId="23" fillId="6" borderId="25" xfId="0" applyFont="1" applyFill="1" applyBorder="1" applyAlignment="1" applyProtection="1">
      <alignment horizontal="center"/>
      <protection hidden="1"/>
    </xf>
    <xf numFmtId="3" fontId="21" fillId="0" borderId="0" xfId="0" applyNumberFormat="1" applyFont="1" applyAlignment="1" applyProtection="1">
      <alignment horizontal="right"/>
      <protection hidden="1"/>
    </xf>
    <xf numFmtId="3" fontId="21" fillId="0" borderId="24" xfId="0" applyNumberFormat="1" applyFont="1" applyBorder="1" applyAlignment="1" applyProtection="1">
      <alignment horizontal="right"/>
      <protection hidden="1"/>
    </xf>
    <xf numFmtId="170" fontId="33" fillId="0" borderId="0" xfId="0" applyFont="1" applyAlignment="1" applyProtection="1">
      <alignment vertical="center"/>
      <protection hidden="1"/>
    </xf>
    <xf numFmtId="171" fontId="16" fillId="0" borderId="0" xfId="3" applyNumberFormat="1" applyFont="1" applyFill="1" applyProtection="1">
      <protection hidden="1"/>
    </xf>
    <xf numFmtId="10" fontId="10" fillId="0" borderId="0" xfId="9" applyNumberFormat="1" applyFont="1" applyFill="1" applyProtection="1">
      <protection hidden="1"/>
    </xf>
    <xf numFmtId="170" fontId="34" fillId="0" borderId="0" xfId="10"/>
    <xf numFmtId="2" fontId="0" fillId="0" borderId="0" xfId="11" applyNumberFormat="1" applyFont="1"/>
    <xf numFmtId="14" fontId="3" fillId="0" borderId="0" xfId="10" applyNumberFormat="1" applyFont="1"/>
    <xf numFmtId="170" fontId="3" fillId="0" borderId="0" xfId="10" applyFont="1"/>
    <xf numFmtId="0" fontId="34" fillId="4" borderId="0" xfId="10" applyNumberFormat="1" applyFill="1"/>
    <xf numFmtId="0" fontId="34" fillId="0" borderId="0" xfId="10" applyNumberFormat="1"/>
    <xf numFmtId="14" fontId="3" fillId="0" borderId="1" xfId="10" applyNumberFormat="1" applyFont="1" applyBorder="1"/>
    <xf numFmtId="0" fontId="3" fillId="0" borderId="1" xfId="10" applyNumberFormat="1" applyFont="1" applyBorder="1"/>
    <xf numFmtId="0" fontId="3" fillId="0" borderId="0" xfId="10" applyNumberFormat="1" applyFont="1"/>
    <xf numFmtId="170" fontId="34" fillId="0" borderId="1" xfId="10" applyBorder="1"/>
    <xf numFmtId="0" fontId="34" fillId="4" borderId="1" xfId="10" applyNumberFormat="1" applyFill="1" applyBorder="1"/>
    <xf numFmtId="0" fontId="34" fillId="0" borderId="1" xfId="10" applyNumberFormat="1" applyBorder="1"/>
    <xf numFmtId="0" fontId="5" fillId="4" borderId="1" xfId="10" applyNumberFormat="1" applyFont="1" applyFill="1" applyBorder="1"/>
    <xf numFmtId="0" fontId="5" fillId="4" borderId="0" xfId="10" applyNumberFormat="1" applyFont="1" applyFill="1"/>
    <xf numFmtId="0" fontId="5" fillId="0" borderId="0" xfId="10" applyNumberFormat="1" applyFont="1"/>
    <xf numFmtId="0" fontId="34" fillId="0" borderId="0" xfId="10" applyNumberFormat="1" applyAlignment="1">
      <alignment horizontal="left"/>
    </xf>
    <xf numFmtId="2" fontId="34" fillId="0" borderId="0" xfId="10" applyNumberFormat="1"/>
    <xf numFmtId="170" fontId="5" fillId="0" borderId="0" xfId="10" applyFont="1"/>
    <xf numFmtId="14" fontId="3" fillId="4" borderId="0" xfId="10" applyNumberFormat="1" applyFont="1" applyFill="1"/>
    <xf numFmtId="170" fontId="4" fillId="3" borderId="1" xfId="10" applyFont="1" applyFill="1" applyBorder="1" applyAlignment="1">
      <alignment horizontal="center"/>
    </xf>
    <xf numFmtId="170" fontId="6" fillId="2" borderId="0" xfId="10" applyFont="1" applyFill="1" applyAlignment="1">
      <alignment horizontal="center"/>
    </xf>
    <xf numFmtId="170" fontId="6" fillId="2" borderId="0" xfId="10" applyFont="1" applyFill="1"/>
    <xf numFmtId="0" fontId="5" fillId="0" borderId="0" xfId="10" quotePrefix="1" applyNumberFormat="1" applyFont="1"/>
    <xf numFmtId="170" fontId="34" fillId="4" borderId="0" xfId="10" applyFill="1"/>
    <xf numFmtId="170" fontId="7" fillId="4" borderId="0" xfId="10" applyFont="1" applyFill="1"/>
    <xf numFmtId="170" fontId="35" fillId="0" borderId="0" xfId="0" applyFont="1" applyProtection="1">
      <protection hidden="1"/>
    </xf>
    <xf numFmtId="170" fontId="35" fillId="0" borderId="0" xfId="5" applyFont="1" applyProtection="1">
      <protection hidden="1"/>
    </xf>
    <xf numFmtId="10" fontId="35" fillId="0" borderId="0" xfId="5" applyNumberFormat="1" applyFont="1" applyProtection="1">
      <protection hidden="1"/>
    </xf>
    <xf numFmtId="170" fontId="35" fillId="0" borderId="0" xfId="0" applyFont="1" applyAlignment="1" applyProtection="1">
      <alignment horizontal="left"/>
      <protection hidden="1"/>
    </xf>
    <xf numFmtId="9" fontId="35" fillId="0" borderId="0" xfId="3" applyFont="1" applyProtection="1">
      <protection hidden="1"/>
    </xf>
    <xf numFmtId="174" fontId="36" fillId="0" borderId="0" xfId="1" applyNumberFormat="1" applyFont="1"/>
    <xf numFmtId="168" fontId="36" fillId="0" borderId="0" xfId="1" applyNumberFormat="1" applyFont="1"/>
    <xf numFmtId="169" fontId="35" fillId="7" borderId="0" xfId="0" applyNumberFormat="1" applyFont="1" applyFill="1" applyAlignment="1" applyProtection="1">
      <alignment horizontal="left"/>
      <protection hidden="1"/>
    </xf>
    <xf numFmtId="170" fontId="35" fillId="5" borderId="0" xfId="0" applyFont="1" applyFill="1" applyProtection="1">
      <protection hidden="1"/>
    </xf>
    <xf numFmtId="43" fontId="35" fillId="5" borderId="0" xfId="1" applyFont="1" applyFill="1" applyProtection="1">
      <protection hidden="1"/>
    </xf>
    <xf numFmtId="10" fontId="0" fillId="0" borderId="0" xfId="3" applyNumberFormat="1" applyFont="1" applyFill="1" applyAlignment="1">
      <alignment horizontal="center"/>
    </xf>
    <xf numFmtId="10" fontId="0" fillId="0" borderId="0" xfId="3" applyNumberFormat="1" applyFont="1" applyAlignment="1">
      <alignment horizontal="center"/>
    </xf>
    <xf numFmtId="0" fontId="37" fillId="6" borderId="0" xfId="9" applyNumberFormat="1" applyFont="1" applyFill="1" applyAlignment="1" applyProtection="1">
      <alignment horizontal="center" vertical="center"/>
      <protection hidden="1"/>
    </xf>
    <xf numFmtId="2" fontId="21" fillId="0" borderId="0" xfId="0" applyNumberFormat="1" applyFont="1" applyProtection="1">
      <protection hidden="1"/>
    </xf>
    <xf numFmtId="175" fontId="21" fillId="0" borderId="0" xfId="0" applyNumberFormat="1" applyFont="1" applyProtection="1">
      <protection hidden="1"/>
    </xf>
    <xf numFmtId="176" fontId="21" fillId="0" borderId="0" xfId="0" applyNumberFormat="1" applyFont="1" applyProtection="1">
      <protection hidden="1"/>
    </xf>
    <xf numFmtId="10" fontId="0" fillId="4" borderId="0" xfId="3" applyNumberFormat="1" applyFont="1" applyFill="1" applyAlignment="1">
      <alignment horizontal="center"/>
    </xf>
    <xf numFmtId="166" fontId="39" fillId="0" borderId="0" xfId="1" applyNumberFormat="1" applyFont="1" applyAlignment="1" applyProtection="1">
      <alignment horizontal="center" vertical="center"/>
      <protection hidden="1"/>
    </xf>
    <xf numFmtId="0" fontId="37" fillId="6" borderId="0" xfId="6" applyNumberFormat="1" applyFont="1" applyFill="1" applyAlignment="1" applyProtection="1">
      <alignment horizontal="center" vertical="center"/>
      <protection hidden="1"/>
    </xf>
    <xf numFmtId="0" fontId="16" fillId="4" borderId="0" xfId="8" applyNumberFormat="1" applyFont="1" applyFill="1" applyAlignment="1" applyProtection="1">
      <alignment horizontal="center"/>
      <protection hidden="1"/>
    </xf>
    <xf numFmtId="14" fontId="16" fillId="4" borderId="0" xfId="8" applyNumberFormat="1" applyFont="1" applyFill="1" applyProtection="1">
      <protection hidden="1"/>
    </xf>
    <xf numFmtId="170" fontId="4" fillId="2" borderId="0" xfId="10" applyFont="1" applyFill="1"/>
    <xf numFmtId="170" fontId="21" fillId="0" borderId="0" xfId="0" applyFont="1" applyAlignment="1" applyProtection="1">
      <alignment horizontal="right" vertical="center"/>
      <protection hidden="1"/>
    </xf>
    <xf numFmtId="169" fontId="19" fillId="0" borderId="0" xfId="2" applyNumberFormat="1" applyFont="1" applyAlignment="1" applyProtection="1">
      <alignment horizontal="center" vertical="center"/>
      <protection hidden="1"/>
    </xf>
    <xf numFmtId="170" fontId="19" fillId="0" borderId="0" xfId="0" applyFont="1" applyAlignment="1" applyProtection="1">
      <alignment horizontal="center" vertical="center"/>
      <protection hidden="1"/>
    </xf>
    <xf numFmtId="10" fontId="19" fillId="0" borderId="0" xfId="0" applyNumberFormat="1" applyFont="1" applyAlignment="1" applyProtection="1">
      <alignment horizontal="center" vertical="center"/>
      <protection hidden="1"/>
    </xf>
    <xf numFmtId="170" fontId="0" fillId="0" borderId="0" xfId="0" applyProtection="1">
      <protection hidden="1"/>
    </xf>
    <xf numFmtId="170" fontId="28" fillId="0" borderId="0" xfId="0" applyFont="1" applyAlignment="1" applyProtection="1">
      <alignment horizontal="center"/>
      <protection hidden="1"/>
    </xf>
    <xf numFmtId="166" fontId="21" fillId="10" borderId="0" xfId="0" applyNumberFormat="1" applyFont="1" applyFill="1" applyAlignment="1" applyProtection="1">
      <alignment horizontal="right" vertical="center"/>
      <protection locked="0" hidden="1"/>
    </xf>
    <xf numFmtId="0" fontId="21" fillId="10" borderId="0" xfId="0" applyNumberFormat="1" applyFont="1" applyFill="1" applyAlignment="1" applyProtection="1">
      <alignment horizontal="right" vertical="center"/>
      <protection locked="0" hidden="1"/>
    </xf>
    <xf numFmtId="170" fontId="21" fillId="10" borderId="0" xfId="0" applyFont="1" applyFill="1" applyAlignment="1" applyProtection="1">
      <alignment horizontal="right"/>
      <protection locked="0" hidden="1"/>
    </xf>
    <xf numFmtId="10" fontId="18" fillId="10" borderId="18" xfId="0" applyNumberFormat="1" applyFont="1" applyFill="1" applyBorder="1" applyAlignment="1" applyProtection="1">
      <alignment horizontal="center" vertical="center"/>
      <protection locked="0" hidden="1"/>
    </xf>
    <xf numFmtId="10" fontId="18" fillId="10" borderId="20" xfId="0" applyNumberFormat="1" applyFont="1" applyFill="1" applyBorder="1" applyAlignment="1" applyProtection="1">
      <alignment horizontal="center" vertical="center" wrapText="1"/>
      <protection locked="0" hidden="1"/>
    </xf>
    <xf numFmtId="166" fontId="21" fillId="0" borderId="0" xfId="0" applyNumberFormat="1" applyFont="1" applyAlignment="1" applyProtection="1">
      <alignment horizontal="center" vertical="center" wrapText="1"/>
      <protection hidden="1"/>
    </xf>
    <xf numFmtId="166" fontId="21" fillId="0" borderId="11" xfId="0" applyNumberFormat="1" applyFont="1" applyBorder="1" applyAlignment="1" applyProtection="1">
      <alignment horizontal="center" vertical="center" wrapText="1"/>
      <protection hidden="1"/>
    </xf>
    <xf numFmtId="170" fontId="23" fillId="6" borderId="26" xfId="0" applyFont="1" applyFill="1" applyBorder="1" applyAlignment="1" applyProtection="1">
      <alignment horizontal="center"/>
      <protection hidden="1"/>
    </xf>
    <xf numFmtId="10" fontId="21" fillId="10" borderId="0" xfId="0" applyNumberFormat="1" applyFont="1" applyFill="1" applyAlignment="1" applyProtection="1">
      <alignment horizontal="right" vertical="center"/>
      <protection hidden="1"/>
    </xf>
    <xf numFmtId="10" fontId="21" fillId="9" borderId="0" xfId="0" applyNumberFormat="1" applyFont="1" applyFill="1" applyAlignment="1" applyProtection="1">
      <alignment horizontal="center"/>
      <protection locked="0" hidden="1"/>
    </xf>
    <xf numFmtId="170" fontId="19" fillId="0" borderId="11" xfId="0" applyFont="1" applyBorder="1" applyAlignment="1" applyProtection="1">
      <alignment wrapText="1"/>
      <protection locked="0" hidden="1"/>
    </xf>
    <xf numFmtId="2" fontId="0" fillId="4" borderId="0" xfId="0" applyNumberFormat="1" applyFill="1" applyAlignment="1">
      <alignment horizontal="right" vertical="center" wrapText="1"/>
    </xf>
    <xf numFmtId="2" fontId="5" fillId="0" borderId="0" xfId="10" quotePrefix="1" applyNumberFormat="1" applyFont="1" applyAlignment="1">
      <alignment wrapText="1"/>
    </xf>
    <xf numFmtId="1" fontId="34" fillId="0" borderId="0" xfId="10" applyNumberFormat="1" applyAlignment="1">
      <alignment horizontal="left"/>
    </xf>
    <xf numFmtId="10" fontId="0" fillId="11" borderId="0" xfId="3" applyNumberFormat="1" applyFont="1" applyFill="1" applyAlignment="1">
      <alignment horizontal="center"/>
    </xf>
    <xf numFmtId="14" fontId="16" fillId="11" borderId="0" xfId="8" applyNumberFormat="1" applyFont="1" applyFill="1" applyProtection="1">
      <protection hidden="1"/>
    </xf>
    <xf numFmtId="14" fontId="11" fillId="11" borderId="0" xfId="8" applyNumberFormat="1" applyFont="1" applyFill="1" applyProtection="1">
      <protection hidden="1"/>
    </xf>
    <xf numFmtId="177" fontId="34" fillId="0" borderId="0" xfId="10" applyNumberFormat="1" applyAlignment="1">
      <alignment horizontal="left"/>
    </xf>
    <xf numFmtId="166" fontId="21" fillId="0" borderId="0" xfId="0" applyNumberFormat="1" applyFont="1" applyAlignment="1" applyProtection="1">
      <alignment horizontal="center" vertical="center" wrapText="1"/>
      <protection hidden="1"/>
    </xf>
    <xf numFmtId="170" fontId="23" fillId="6" borderId="14" xfId="0" applyFont="1" applyFill="1" applyBorder="1" applyAlignment="1" applyProtection="1">
      <alignment horizontal="center" vertical="center"/>
      <protection hidden="1"/>
    </xf>
    <xf numFmtId="170" fontId="23" fillId="6" borderId="15" xfId="0" applyFont="1" applyFill="1" applyBorder="1" applyAlignment="1" applyProtection="1">
      <alignment horizontal="center" vertical="center"/>
      <protection hidden="1"/>
    </xf>
    <xf numFmtId="170" fontId="23" fillId="6" borderId="21" xfId="0" applyFont="1" applyFill="1" applyBorder="1" applyAlignment="1" applyProtection="1">
      <alignment horizontal="center" vertical="center"/>
      <protection hidden="1"/>
    </xf>
    <xf numFmtId="170" fontId="23" fillId="6" borderId="22" xfId="0" applyFont="1" applyFill="1" applyBorder="1" applyAlignment="1" applyProtection="1">
      <alignment horizontal="center" vertical="center"/>
      <protection hidden="1"/>
    </xf>
    <xf numFmtId="170" fontId="23" fillId="6" borderId="0" xfId="0" applyFont="1" applyFill="1" applyAlignment="1" applyProtection="1">
      <alignment horizontal="center" vertical="center"/>
      <protection hidden="1"/>
    </xf>
    <xf numFmtId="170" fontId="23" fillId="6" borderId="23" xfId="0" applyFont="1" applyFill="1" applyBorder="1" applyAlignment="1" applyProtection="1">
      <alignment horizontal="center" vertical="center"/>
      <protection hidden="1"/>
    </xf>
    <xf numFmtId="166" fontId="26" fillId="0" borderId="18" xfId="0" applyNumberFormat="1" applyFont="1" applyBorder="1" applyAlignment="1" applyProtection="1">
      <alignment horizontal="center" vertical="center"/>
      <protection hidden="1"/>
    </xf>
    <xf numFmtId="166" fontId="26" fillId="0" borderId="0" xfId="0" applyNumberFormat="1" applyFont="1" applyAlignment="1" applyProtection="1">
      <alignment horizontal="center" vertical="center"/>
      <protection hidden="1"/>
    </xf>
    <xf numFmtId="166" fontId="26" fillId="0" borderId="19" xfId="0" applyNumberFormat="1" applyFont="1" applyBorder="1" applyAlignment="1" applyProtection="1">
      <alignment horizontal="center" vertical="center"/>
      <protection hidden="1"/>
    </xf>
    <xf numFmtId="166" fontId="26" fillId="0" borderId="20" xfId="0" applyNumberFormat="1" applyFont="1" applyBorder="1" applyAlignment="1" applyProtection="1">
      <alignment horizontal="center" vertical="center"/>
      <protection hidden="1"/>
    </xf>
    <xf numFmtId="166" fontId="26" fillId="0" borderId="11" xfId="0" applyNumberFormat="1" applyFont="1" applyBorder="1" applyAlignment="1" applyProtection="1">
      <alignment horizontal="center" vertical="center"/>
      <protection hidden="1"/>
    </xf>
    <xf numFmtId="166" fontId="26" fillId="0" borderId="13" xfId="0" applyNumberFormat="1" applyFont="1" applyBorder="1" applyAlignment="1" applyProtection="1">
      <alignment horizontal="center" vertical="center"/>
      <protection hidden="1"/>
    </xf>
    <xf numFmtId="170" fontId="21" fillId="10" borderId="0" xfId="0" applyFont="1" applyFill="1" applyAlignment="1" applyProtection="1">
      <alignment horizontal="left" vertical="center"/>
      <protection locked="0" hidden="1"/>
    </xf>
    <xf numFmtId="170" fontId="23" fillId="6" borderId="16" xfId="0" applyFont="1" applyFill="1" applyBorder="1" applyAlignment="1" applyProtection="1">
      <alignment horizontal="center" vertical="center"/>
      <protection hidden="1"/>
    </xf>
    <xf numFmtId="170" fontId="23" fillId="6" borderId="17" xfId="0" applyFont="1" applyFill="1" applyBorder="1" applyAlignment="1" applyProtection="1">
      <alignment horizontal="center" vertical="center"/>
      <protection hidden="1"/>
    </xf>
    <xf numFmtId="166" fontId="24" fillId="0" borderId="12" xfId="0" applyNumberFormat="1" applyFont="1" applyBorder="1" applyAlignment="1" applyProtection="1">
      <alignment horizontal="center" vertical="center"/>
      <protection hidden="1"/>
    </xf>
    <xf numFmtId="166" fontId="24" fillId="0" borderId="13" xfId="0" applyNumberFormat="1" applyFont="1" applyBorder="1" applyAlignment="1" applyProtection="1">
      <alignment horizontal="center" vertical="center"/>
      <protection hidden="1"/>
    </xf>
    <xf numFmtId="170" fontId="25" fillId="0" borderId="0" xfId="0" applyFont="1" applyAlignment="1" applyProtection="1">
      <alignment horizontal="center" vertical="center"/>
      <protection hidden="1"/>
    </xf>
    <xf numFmtId="170" fontId="30" fillId="0" borderId="0" xfId="0" applyFont="1" applyAlignment="1" applyProtection="1">
      <alignment horizontal="left" wrapText="1"/>
      <protection hidden="1"/>
    </xf>
    <xf numFmtId="170" fontId="31" fillId="0" borderId="0" xfId="0" applyFont="1" applyAlignment="1" applyProtection="1">
      <alignment horizontal="left" wrapText="1"/>
      <protection hidden="1"/>
    </xf>
    <xf numFmtId="166" fontId="21" fillId="0" borderId="11" xfId="0" applyNumberFormat="1" applyFont="1" applyBorder="1" applyAlignment="1" applyProtection="1">
      <alignment horizontal="center" vertical="center" wrapText="1"/>
      <protection hidden="1"/>
    </xf>
    <xf numFmtId="166" fontId="21" fillId="0" borderId="13" xfId="0" applyNumberFormat="1" applyFont="1" applyBorder="1" applyAlignment="1" applyProtection="1">
      <alignment horizontal="center" vertical="center" wrapText="1"/>
      <protection hidden="1"/>
    </xf>
    <xf numFmtId="166" fontId="21" fillId="0" borderId="19" xfId="0" applyNumberFormat="1" applyFont="1" applyBorder="1" applyAlignment="1" applyProtection="1">
      <alignment horizontal="center" vertical="center" wrapText="1"/>
      <protection hidden="1"/>
    </xf>
    <xf numFmtId="170" fontId="23" fillId="6" borderId="26" xfId="0" applyFont="1" applyFill="1" applyBorder="1" applyAlignment="1" applyProtection="1">
      <alignment horizontal="center"/>
      <protection hidden="1"/>
    </xf>
    <xf numFmtId="170" fontId="23" fillId="6" borderId="27" xfId="0" applyFont="1" applyFill="1" applyBorder="1" applyAlignment="1" applyProtection="1">
      <alignment horizontal="center"/>
      <protection hidden="1"/>
    </xf>
  </cellXfs>
  <cellStyles count="12">
    <cellStyle name="blp_column_header" xfId="6" xr:uid="{00000000-0005-0000-0000-000000000000}"/>
    <cellStyle name="Comma" xfId="1" builtinId="3"/>
    <cellStyle name="Currency" xfId="2" builtinId="4"/>
    <cellStyle name="Hyperlink" xfId="4" builtinId="8"/>
    <cellStyle name="Normal" xfId="0" builtinId="0"/>
    <cellStyle name="Normal 2" xfId="5" xr:uid="{00000000-0005-0000-0000-000005000000}"/>
    <cellStyle name="Normal 2 2" xfId="10" xr:uid="{824798F7-1C08-4C6C-8359-248976A3BBC3}"/>
    <cellStyle name="Normal 3" xfId="8" xr:uid="{00000000-0005-0000-0000-000006000000}"/>
    <cellStyle name="Percent" xfId="3" builtinId="5"/>
    <cellStyle name="Percent 2" xfId="7" xr:uid="{00000000-0005-0000-0000-000008000000}"/>
    <cellStyle name="Percent 2 2" xfId="11" xr:uid="{D7A0BEF5-600D-4A88-94A1-56F1255C6D79}"/>
    <cellStyle name="Percent 3" xfId="9" xr:uid="{00000000-0005-0000-0000-000009000000}"/>
  </cellStyles>
  <dxfs count="11">
    <dxf>
      <font>
        <color theme="0"/>
      </font>
      <fill>
        <patternFill>
          <bgColor theme="0"/>
        </patternFill>
      </fill>
    </dxf>
    <dxf>
      <font>
        <color theme="0"/>
      </font>
      <fill>
        <patternFill>
          <bgColor theme="0"/>
        </patternFill>
      </fill>
    </dxf>
    <dxf>
      <font>
        <color theme="0"/>
      </font>
      <border>
        <left/>
        <right/>
        <top/>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EED86D"/>
      <color rgb="FFF6C56E"/>
      <color rgb="FFFFDA65"/>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mailto:pensfordteam@pensford.com"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7884</xdr:colOff>
      <xdr:row>8</xdr:row>
      <xdr:rowOff>195550</xdr:rowOff>
    </xdr:to>
    <xdr:grpSp>
      <xdr:nvGrpSpPr>
        <xdr:cNvPr id="18" name="Group 17">
          <a:extLst>
            <a:ext uri="{FF2B5EF4-FFF2-40B4-BE49-F238E27FC236}">
              <a16:creationId xmlns:a16="http://schemas.microsoft.com/office/drawing/2014/main" id="{9575B7AA-EB4C-4805-8FA1-39C98D4A6CD3}"/>
            </a:ext>
          </a:extLst>
        </xdr:cNvPr>
        <xdr:cNvGrpSpPr/>
      </xdr:nvGrpSpPr>
      <xdr:grpSpPr>
        <a:xfrm>
          <a:off x="400050" y="400050"/>
          <a:ext cx="3474984" cy="1490950"/>
          <a:chOff x="400049" y="287267"/>
          <a:chExt cx="3474984" cy="1433802"/>
        </a:xfrm>
      </xdr:grpSpPr>
      <xdr:pic>
        <xdr:nvPicPr>
          <xdr:cNvPr id="19" name="Picture 18">
            <a:extLst>
              <a:ext uri="{FF2B5EF4-FFF2-40B4-BE49-F238E27FC236}">
                <a16:creationId xmlns:a16="http://schemas.microsoft.com/office/drawing/2014/main" id="{F68753D3-0028-4B7F-8CED-5FB050B20027}"/>
              </a:ext>
            </a:extLst>
          </xdr:cNvPr>
          <xdr:cNvPicPr>
            <a:picLocks noChangeAspect="1"/>
          </xdr:cNvPicPr>
        </xdr:nvPicPr>
        <xdr:blipFill rotWithShape="1">
          <a:blip xmlns:r="http://schemas.openxmlformats.org/officeDocument/2006/relationships" r:embed="rId1"/>
          <a:srcRect t="3772" b="3449"/>
          <a:stretch/>
        </xdr:blipFill>
        <xdr:spPr>
          <a:xfrm>
            <a:off x="400049" y="287267"/>
            <a:ext cx="3474983" cy="1239545"/>
          </a:xfrm>
          <a:prstGeom prst="rect">
            <a:avLst/>
          </a:prstGeom>
        </xdr:spPr>
      </xdr:pic>
      <xdr:grpSp>
        <xdr:nvGrpSpPr>
          <xdr:cNvPr id="20" name="Group 19">
            <a:extLst>
              <a:ext uri="{FF2B5EF4-FFF2-40B4-BE49-F238E27FC236}">
                <a16:creationId xmlns:a16="http://schemas.microsoft.com/office/drawing/2014/main" id="{A4652119-6202-4A34-B08E-E51E2F52D1D8}"/>
              </a:ext>
            </a:extLst>
          </xdr:cNvPr>
          <xdr:cNvGrpSpPr/>
        </xdr:nvGrpSpPr>
        <xdr:grpSpPr>
          <a:xfrm>
            <a:off x="400050" y="1524000"/>
            <a:ext cx="3474983" cy="197069"/>
            <a:chOff x="394138" y="1832741"/>
            <a:chExt cx="3474983" cy="197069"/>
          </a:xfrm>
        </xdr:grpSpPr>
        <xdr:sp macro="" textlink="">
          <xdr:nvSpPr>
            <xdr:cNvPr id="21" name="TextBox 20">
              <a:extLst>
                <a:ext uri="{FF2B5EF4-FFF2-40B4-BE49-F238E27FC236}">
                  <a16:creationId xmlns:a16="http://schemas.microsoft.com/office/drawing/2014/main" id="{04C9059B-C3C1-4EEC-8195-C1690E72ADB3}"/>
                </a:ext>
              </a:extLst>
            </xdr:cNvPr>
            <xdr:cNvSpPr txBox="1"/>
          </xdr:nvSpPr>
          <xdr:spPr>
            <a:xfrm>
              <a:off x="394138" y="1832741"/>
              <a:ext cx="440121" cy="197069"/>
            </a:xfrm>
            <a:prstGeom prst="rect">
              <a:avLst/>
            </a:prstGeom>
            <a:solidFill>
              <a:schemeClr val="accent3">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lang="en-US" sz="1000">
                  <a:solidFill>
                    <a:schemeClr val="bg1"/>
                  </a:solidFill>
                  <a:latin typeface="+mn-lt"/>
                </a:rPr>
                <a:t>Phone:</a:t>
              </a:r>
            </a:p>
          </xdr:txBody>
        </xdr:sp>
        <xdr:sp macro="" textlink="">
          <xdr:nvSpPr>
            <xdr:cNvPr id="22" name="TextBox 21">
              <a:extLst>
                <a:ext uri="{FF2B5EF4-FFF2-40B4-BE49-F238E27FC236}">
                  <a16:creationId xmlns:a16="http://schemas.microsoft.com/office/drawing/2014/main" id="{23AF5C46-770E-4580-89F1-FDD72C85E4F0}"/>
                </a:ext>
              </a:extLst>
            </xdr:cNvPr>
            <xdr:cNvSpPr txBox="1"/>
          </xdr:nvSpPr>
          <xdr:spPr>
            <a:xfrm>
              <a:off x="834259" y="1832741"/>
              <a:ext cx="886810" cy="197069"/>
            </a:xfrm>
            <a:prstGeom prst="rect">
              <a:avLst/>
            </a:prstGeom>
            <a:solidFill>
              <a:schemeClr val="accent3">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en-US" sz="1000">
                  <a:solidFill>
                    <a:schemeClr val="bg1"/>
                  </a:solidFill>
                  <a:latin typeface="+mn-lt"/>
                </a:rPr>
                <a:t>  (704) 887-9880</a:t>
              </a:r>
            </a:p>
          </xdr:txBody>
        </xdr:sp>
        <xdr:sp macro="" textlink="">
          <xdr:nvSpPr>
            <xdr:cNvPr id="23" name="TextBox 22">
              <a:extLst>
                <a:ext uri="{FF2B5EF4-FFF2-40B4-BE49-F238E27FC236}">
                  <a16:creationId xmlns:a16="http://schemas.microsoft.com/office/drawing/2014/main" id="{52A42F57-C3B9-4523-89A9-2076817C36C8}"/>
                </a:ext>
              </a:extLst>
            </xdr:cNvPr>
            <xdr:cNvSpPr txBox="1"/>
          </xdr:nvSpPr>
          <xdr:spPr>
            <a:xfrm>
              <a:off x="1721069" y="1832741"/>
              <a:ext cx="420414" cy="197069"/>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lang="en-US" sz="1000">
                  <a:solidFill>
                    <a:sysClr val="windowText" lastClr="000000"/>
                  </a:solidFill>
                  <a:latin typeface="+mn-lt"/>
                </a:rPr>
                <a:t>Email:</a:t>
              </a:r>
            </a:p>
          </xdr:txBody>
        </xdr:sp>
        <xdr:sp macro="" textlink="">
          <xdr:nvSpPr>
            <xdr:cNvPr id="24" name="TextBox 23">
              <a:hlinkClick xmlns:r="http://schemas.openxmlformats.org/officeDocument/2006/relationships" r:id="rId2"/>
              <a:extLst>
                <a:ext uri="{FF2B5EF4-FFF2-40B4-BE49-F238E27FC236}">
                  <a16:creationId xmlns:a16="http://schemas.microsoft.com/office/drawing/2014/main" id="{D4B458D7-1B71-453B-AA59-F51ACBC749AA}"/>
                </a:ext>
              </a:extLst>
            </xdr:cNvPr>
            <xdr:cNvSpPr txBox="1"/>
          </xdr:nvSpPr>
          <xdr:spPr>
            <a:xfrm>
              <a:off x="2141483" y="1832741"/>
              <a:ext cx="1727638" cy="197069"/>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en-US" sz="1000" b="0" i="0" u="none" strike="noStrike">
                  <a:solidFill>
                    <a:schemeClr val="dk1"/>
                  </a:solidFill>
                  <a:effectLst/>
                  <a:latin typeface="+mn-lt"/>
                  <a:ea typeface="+mn-ea"/>
                  <a:cs typeface="+mn-cs"/>
                </a:rPr>
                <a:t>  PensfordTeam@Pensford.com </a:t>
              </a:r>
              <a:endParaRPr lang="en-US" sz="800">
                <a:solidFill>
                  <a:schemeClr val="bg1"/>
                </a:solidFill>
                <a:latin typeface="+mn-lt"/>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456239</xdr:colOff>
      <xdr:row>101</xdr:row>
      <xdr:rowOff>142733</xdr:rowOff>
    </xdr:from>
    <xdr:to>
      <xdr:col>17</xdr:col>
      <xdr:colOff>29972</xdr:colOff>
      <xdr:row>105</xdr:row>
      <xdr:rowOff>159665</xdr:rowOff>
    </xdr:to>
    <xdr:pic>
      <xdr:nvPicPr>
        <xdr:cNvPr id="2" name="image3.png" title="Image">
          <a:extLst>
            <a:ext uri="{FF2B5EF4-FFF2-40B4-BE49-F238E27FC236}">
              <a16:creationId xmlns:a16="http://schemas.microsoft.com/office/drawing/2014/main" id="{46509F43-494A-45B7-8410-CE7C82C409D5}"/>
            </a:ext>
          </a:extLst>
        </xdr:cNvPr>
        <xdr:cNvPicPr preferRelativeResize="0"/>
      </xdr:nvPicPr>
      <xdr:blipFill>
        <a:blip xmlns:r="http://schemas.openxmlformats.org/officeDocument/2006/relationships" r:embed="rId1" cstate="print"/>
        <a:stretch>
          <a:fillRect/>
        </a:stretch>
      </xdr:blipFill>
      <xdr:spPr>
        <a:xfrm>
          <a:off x="6361739" y="20515027"/>
          <a:ext cx="7720409" cy="823756"/>
        </a:xfrm>
        <a:prstGeom prst="rect">
          <a:avLst/>
        </a:prstGeom>
        <a:noFill/>
      </xdr:spPr>
    </xdr:pic>
    <xdr:clientData fLocksWithSheet="0"/>
  </xdr:twoCellAnchor>
  <xdr:twoCellAnchor>
    <xdr:from>
      <xdr:col>2</xdr:col>
      <xdr:colOff>7763</xdr:colOff>
      <xdr:row>98</xdr:row>
      <xdr:rowOff>159523</xdr:rowOff>
    </xdr:from>
    <xdr:to>
      <xdr:col>7</xdr:col>
      <xdr:colOff>903913</xdr:colOff>
      <xdr:row>128</xdr:row>
      <xdr:rowOff>18009</xdr:rowOff>
    </xdr:to>
    <xdr:pic>
      <xdr:nvPicPr>
        <xdr:cNvPr id="3" name="image2.png" title="Image">
          <a:extLst>
            <a:ext uri="{FF2B5EF4-FFF2-40B4-BE49-F238E27FC236}">
              <a16:creationId xmlns:a16="http://schemas.microsoft.com/office/drawing/2014/main" id="{9FC7553E-D421-4196-85D0-5613BDF218EF}"/>
            </a:ext>
          </a:extLst>
        </xdr:cNvPr>
        <xdr:cNvPicPr preferRelativeResize="0"/>
      </xdr:nvPicPr>
      <xdr:blipFill>
        <a:blip xmlns:r="http://schemas.openxmlformats.org/officeDocument/2006/relationships" r:embed="rId2" cstate="print"/>
        <a:stretch>
          <a:fillRect/>
        </a:stretch>
      </xdr:blipFill>
      <xdr:spPr>
        <a:xfrm>
          <a:off x="1935175" y="19926699"/>
          <a:ext cx="3720032" cy="5909663"/>
        </a:xfrm>
        <a:prstGeom prst="rect">
          <a:avLst/>
        </a:prstGeom>
        <a:noFill/>
      </xdr:spPr>
    </xdr:pic>
    <xdr:clientData fLocksWithSheet="0"/>
  </xdr:twoCellAnchor>
  <xdr:twoCellAnchor editAs="oneCell">
    <xdr:from>
      <xdr:col>8</xdr:col>
      <xdr:colOff>469726</xdr:colOff>
      <xdr:row>106</xdr:row>
      <xdr:rowOff>156575</xdr:rowOff>
    </xdr:from>
    <xdr:to>
      <xdr:col>14</xdr:col>
      <xdr:colOff>693112</xdr:colOff>
      <xdr:row>123</xdr:row>
      <xdr:rowOff>56494</xdr:rowOff>
    </xdr:to>
    <xdr:pic>
      <xdr:nvPicPr>
        <xdr:cNvPr id="6" name="Picture 5">
          <a:extLst>
            <a:ext uri="{FF2B5EF4-FFF2-40B4-BE49-F238E27FC236}">
              <a16:creationId xmlns:a16="http://schemas.microsoft.com/office/drawing/2014/main" id="{5F96E686-99AF-47E1-B08F-AC2EC6723058}"/>
            </a:ext>
          </a:extLst>
        </xdr:cNvPr>
        <xdr:cNvPicPr>
          <a:picLocks noChangeAspect="1"/>
        </xdr:cNvPicPr>
      </xdr:nvPicPr>
      <xdr:blipFill>
        <a:blip xmlns:r="http://schemas.openxmlformats.org/officeDocument/2006/relationships" r:embed="rId3"/>
        <a:stretch>
          <a:fillRect/>
        </a:stretch>
      </xdr:blipFill>
      <xdr:spPr>
        <a:xfrm>
          <a:off x="6419589" y="20902808"/>
          <a:ext cx="6059895" cy="3227145"/>
        </a:xfrm>
        <a:prstGeom prst="rect">
          <a:avLst/>
        </a:prstGeom>
      </xdr:spPr>
    </xdr:pic>
    <xdr:clientData/>
  </xdr:twoCellAnchor>
  <xdr:twoCellAnchor editAs="oneCell">
    <xdr:from>
      <xdr:col>8</xdr:col>
      <xdr:colOff>469726</xdr:colOff>
      <xdr:row>123</xdr:row>
      <xdr:rowOff>50327</xdr:rowOff>
    </xdr:from>
    <xdr:to>
      <xdr:col>14</xdr:col>
      <xdr:colOff>693112</xdr:colOff>
      <xdr:row>137</xdr:row>
      <xdr:rowOff>144633</xdr:rowOff>
    </xdr:to>
    <xdr:pic>
      <xdr:nvPicPr>
        <xdr:cNvPr id="7" name="Picture 6">
          <a:extLst>
            <a:ext uri="{FF2B5EF4-FFF2-40B4-BE49-F238E27FC236}">
              <a16:creationId xmlns:a16="http://schemas.microsoft.com/office/drawing/2014/main" id="{D6C5DB58-EF44-47BE-A563-0F0EF8BFC0D4}"/>
            </a:ext>
          </a:extLst>
        </xdr:cNvPr>
        <xdr:cNvPicPr>
          <a:picLocks noChangeAspect="1"/>
        </xdr:cNvPicPr>
      </xdr:nvPicPr>
      <xdr:blipFill>
        <a:blip xmlns:r="http://schemas.openxmlformats.org/officeDocument/2006/relationships" r:embed="rId4"/>
        <a:stretch>
          <a:fillRect/>
        </a:stretch>
      </xdr:blipFill>
      <xdr:spPr>
        <a:xfrm>
          <a:off x="6419589" y="24123786"/>
          <a:ext cx="6059895" cy="2834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117"/>
  <sheetViews>
    <sheetView showGridLines="0" tabSelected="1" zoomScaleNormal="100" zoomScalePageLayoutView="70" workbookViewId="0">
      <selection activeCell="E18" sqref="E18"/>
    </sheetView>
  </sheetViews>
  <sheetFormatPr defaultColWidth="0" defaultRowHeight="15.75" x14ac:dyDescent="0.25"/>
  <cols>
    <col min="1" max="2" width="3" style="88" customWidth="1"/>
    <col min="3" max="3" width="17.140625" style="88" customWidth="1"/>
    <col min="4" max="4" width="10.5703125" style="88" customWidth="1"/>
    <col min="5" max="5" width="24.28515625" style="88" customWidth="1"/>
    <col min="6" max="6" width="13.5703125" style="88" customWidth="1"/>
    <col min="7" max="7" width="12.140625" style="88" customWidth="1"/>
    <col min="8" max="8" width="14.140625" style="88" customWidth="1"/>
    <col min="9" max="9" width="14" style="88" customWidth="1"/>
    <col min="10" max="10" width="0.140625" style="88" customWidth="1"/>
    <col min="11" max="11" width="9.5703125" style="88" customWidth="1"/>
    <col min="12" max="13" width="4.5703125" style="88" customWidth="1"/>
    <col min="14" max="14" width="9.5703125" style="88" customWidth="1"/>
    <col min="15" max="15" width="5" style="88" customWidth="1"/>
    <col min="16" max="16" width="8" style="98" customWidth="1"/>
    <col min="17" max="17" width="12.140625" style="98" customWidth="1"/>
    <col min="18" max="18" width="4.28515625" style="183" customWidth="1"/>
    <col min="19" max="19" width="12.140625" style="98" customWidth="1"/>
    <col min="20" max="20" width="16" style="98" customWidth="1"/>
    <col min="21" max="21" width="4.28515625" style="98" customWidth="1"/>
    <col min="22" max="23" width="11.42578125" style="98" customWidth="1"/>
    <col min="24" max="24" width="18.85546875" style="98" customWidth="1"/>
    <col min="25" max="25" width="21.85546875" style="98" customWidth="1"/>
    <col min="26" max="26" width="4.85546875" style="89" customWidth="1"/>
    <col min="27" max="31" width="9.140625" style="88" hidden="1" customWidth="1"/>
    <col min="32" max="42" width="0" style="88" hidden="1" customWidth="1"/>
    <col min="43" max="16384" width="9.140625" style="88" hidden="1"/>
  </cols>
  <sheetData>
    <row r="1" spans="1:28" x14ac:dyDescent="0.25">
      <c r="A1" s="87"/>
      <c r="R1" s="98"/>
    </row>
    <row r="2" spans="1:28" x14ac:dyDescent="0.25">
      <c r="R2" s="98"/>
    </row>
    <row r="3" spans="1:28" ht="19.5" thickBot="1" x14ac:dyDescent="0.3">
      <c r="G3" s="93" t="s">
        <v>95</v>
      </c>
      <c r="H3" s="93"/>
      <c r="I3" s="93"/>
      <c r="J3" s="93"/>
      <c r="K3" s="93"/>
      <c r="L3" s="93"/>
      <c r="M3" s="93"/>
      <c r="N3" s="93"/>
      <c r="O3" s="93"/>
      <c r="P3" s="109" t="s">
        <v>101</v>
      </c>
      <c r="Q3" s="110"/>
      <c r="R3" s="110"/>
      <c r="S3" s="114"/>
      <c r="T3" s="114"/>
      <c r="U3" s="114"/>
      <c r="V3" s="114"/>
      <c r="W3" s="114"/>
      <c r="X3" s="114"/>
      <c r="Y3" s="114"/>
      <c r="Z3" s="100"/>
    </row>
    <row r="4" spans="1:28" ht="18.75" x14ac:dyDescent="0.25">
      <c r="G4" s="128" t="str">
        <f>"Based on Market Data From "&amp;TEXT(Volatilities_Resets!C4,"MM-DD-YYYY")</f>
        <v>Based on Market Data From 09-25-2023</v>
      </c>
      <c r="H4" s="93"/>
      <c r="I4" s="93"/>
      <c r="J4" s="93"/>
      <c r="K4" s="93"/>
      <c r="L4" s="93"/>
      <c r="M4" s="93"/>
      <c r="N4" s="93"/>
      <c r="O4" s="93"/>
      <c r="R4" s="98"/>
      <c r="Z4" s="100"/>
      <c r="AA4" s="121"/>
      <c r="AB4" s="121"/>
    </row>
    <row r="5" spans="1:28" x14ac:dyDescent="0.25">
      <c r="G5" s="222" t="s">
        <v>124</v>
      </c>
      <c r="H5" s="222"/>
      <c r="I5" s="222"/>
      <c r="J5" s="222"/>
      <c r="K5" s="222"/>
      <c r="L5" s="222"/>
      <c r="M5" s="222"/>
      <c r="N5" s="222"/>
      <c r="O5" s="86"/>
      <c r="R5" s="98"/>
      <c r="S5" s="115"/>
      <c r="T5" s="115"/>
      <c r="U5" s="115"/>
      <c r="V5" s="115"/>
      <c r="W5" s="116"/>
      <c r="X5" s="116"/>
      <c r="Y5" s="116"/>
      <c r="AA5" s="121"/>
      <c r="AB5" s="121"/>
    </row>
    <row r="6" spans="1:28" ht="16.5" thickBot="1" x14ac:dyDescent="0.3">
      <c r="G6" s="222"/>
      <c r="H6" s="222"/>
      <c r="I6" s="222"/>
      <c r="J6" s="222"/>
      <c r="K6" s="222"/>
      <c r="L6" s="222"/>
      <c r="M6" s="222"/>
      <c r="N6" s="222"/>
      <c r="P6" s="117" t="s">
        <v>106</v>
      </c>
      <c r="Q6" s="118"/>
      <c r="R6" s="98"/>
      <c r="S6" s="119" t="s">
        <v>102</v>
      </c>
      <c r="T6" s="120"/>
      <c r="U6" s="116"/>
      <c r="V6" s="119" t="s">
        <v>103</v>
      </c>
      <c r="W6" s="120"/>
      <c r="X6" s="120"/>
      <c r="Y6" s="120"/>
      <c r="AA6" s="123"/>
      <c r="AB6" s="123"/>
    </row>
    <row r="7" spans="1:28" x14ac:dyDescent="0.25">
      <c r="D7" s="103"/>
      <c r="G7" s="222"/>
      <c r="H7" s="222"/>
      <c r="I7" s="222"/>
      <c r="J7" s="222"/>
      <c r="K7" s="222"/>
      <c r="L7" s="222"/>
      <c r="M7" s="222"/>
      <c r="N7" s="222"/>
      <c r="P7" s="116"/>
      <c r="R7" s="98"/>
      <c r="S7" s="116"/>
      <c r="T7" s="116"/>
      <c r="U7" s="116"/>
      <c r="V7" s="116"/>
      <c r="W7" s="116"/>
      <c r="X7" s="116"/>
      <c r="Y7" s="116"/>
      <c r="AA7" s="123"/>
      <c r="AB7" s="123"/>
    </row>
    <row r="8" spans="1:28" x14ac:dyDescent="0.25">
      <c r="G8" s="222"/>
      <c r="H8" s="222"/>
      <c r="I8" s="222"/>
      <c r="J8" s="222"/>
      <c r="K8" s="222"/>
      <c r="L8" s="222"/>
      <c r="M8" s="222"/>
      <c r="N8" s="222"/>
      <c r="O8" s="86"/>
      <c r="P8" s="106" t="s">
        <v>105</v>
      </c>
      <c r="Q8" s="107" t="s">
        <v>43</v>
      </c>
      <c r="R8" s="98"/>
      <c r="S8" s="106" t="s">
        <v>44</v>
      </c>
      <c r="T8" s="106" t="s">
        <v>104</v>
      </c>
      <c r="U8" s="112"/>
      <c r="V8" s="106" t="s">
        <v>94</v>
      </c>
      <c r="W8" s="106" t="s">
        <v>77</v>
      </c>
      <c r="X8" s="106" t="s">
        <v>86</v>
      </c>
      <c r="Y8" s="106" t="s">
        <v>123</v>
      </c>
      <c r="AA8" s="124"/>
      <c r="AB8" s="124"/>
    </row>
    <row r="9" spans="1:28" x14ac:dyDescent="0.25">
      <c r="G9" s="222"/>
      <c r="H9" s="222"/>
      <c r="I9" s="222"/>
      <c r="J9" s="222"/>
      <c r="K9" s="222"/>
      <c r="L9" s="222"/>
      <c r="M9" s="222"/>
      <c r="N9" s="222"/>
      <c r="O9" s="86"/>
      <c r="P9" s="108">
        <f ca="1">IF($Q9="","",COUNT($Q$9:$Q9))</f>
        <v>1</v>
      </c>
      <c r="Q9" s="111">
        <f ca="1">DataValidation!$I$13</f>
        <v>45191</v>
      </c>
      <c r="R9" s="98"/>
      <c r="S9" s="173">
        <f ca="1">IF(Q9="","",VLOOKUP($Q9,Calculator!$D$15:$L$98,9))+SUM(DataValidation!$I$16:$I$17)/$E$19</f>
        <v>69503.648375800665</v>
      </c>
      <c r="T9" s="113">
        <f t="shared" ref="T9:T40" ca="1" si="0">IF(Q9="","",$S9/SUM($S$9:$S$92))</f>
        <v>3.4844631145871552E-2</v>
      </c>
      <c r="U9" s="116"/>
      <c r="V9" s="113">
        <f ca="1">IF(P9="","",'Vols - Forward Curve'!P2)</f>
        <v>5.3175100000000003E-2</v>
      </c>
      <c r="W9" s="113">
        <f ca="1">IF(V9="","",IF(strikeType=DataValidation!$C$2,strike,IF(strikeType=DataValidation!$C$3,IF(ROWS($W$9:W9)&lt;=12,StepUp1,IF(ROWS($W$9:W9)&lt;=24,StepUp2,IF(ROWS($W$9:W9)&lt;=36,StepUp3,IF(ROWS($W$9:W9)&lt;=48,StepUp4,IF(ROWS($W$9:W9)&lt;=60,StepUp5,IF(ROWS($W$9:W9)&lt;=72,StepUp6,IF(ROWS($W$9:W9)&lt;=84,StepUp7,0))))))))))</f>
        <v>0.02</v>
      </c>
      <c r="X9" s="101">
        <f ca="1">IF(V9="","",IF(AND(strikeType=DataValidation!$C$2,V9&gt;strike),('Cap Pricer'!V9-strike)*notional*((Volatilities_Resets!D4-Volatilities_Resets!C4)/360),IF(AND(strikeType=DataValidation!$C$3,V9&gt;W9),(V9-W9)*notional*((Volatilities_Resets!D4-Volatilities_Resets!C4)/360),0)))</f>
        <v>69114.791666666657</v>
      </c>
      <c r="Y9" s="101">
        <f ca="1">IF(P9="","",(IF(X9&gt;0, ((VLOOKUP('Cap Pricer'!$P9,Calculator!$C$15:$T$98,18))*X9), 0)))</f>
        <v>68809.203739705932</v>
      </c>
      <c r="Z9" s="169"/>
      <c r="AA9" s="124"/>
      <c r="AB9" s="124"/>
    </row>
    <row r="10" spans="1:28" x14ac:dyDescent="0.25">
      <c r="G10" s="222"/>
      <c r="H10" s="222"/>
      <c r="I10" s="222"/>
      <c r="J10" s="222"/>
      <c r="K10" s="222"/>
      <c r="L10" s="222"/>
      <c r="M10" s="222"/>
      <c r="N10" s="222"/>
      <c r="O10" s="86"/>
      <c r="P10" s="108">
        <f ca="1">IF($Q10="","",COUNT($Q$9:$Q10))</f>
        <v>2</v>
      </c>
      <c r="Q10" s="111">
        <f ca="1">IF($Q9="","",IF($Q9&lt;EDATE(DataValidation!$I$13,$E$19-1),EDATE($Q9,1),""))</f>
        <v>45221</v>
      </c>
      <c r="R10" s="98"/>
      <c r="S10" s="173">
        <f ca="1">IF(Q10="","",(VLOOKUP($Q10,Calculator!$D$15:$L$98,9)+SUM(DataValidation!$I$16:$I$17)/$E$19))</f>
        <v>72421.748735714325</v>
      </c>
      <c r="T10" s="113">
        <f t="shared" ca="1" si="0"/>
        <v>3.6307577812182509E-2</v>
      </c>
      <c r="U10" s="116"/>
      <c r="V10" s="113">
        <f ca="1">IF(P10="","",'Vols - Forward Curve'!P3)</f>
        <v>5.3621100000000005E-2</v>
      </c>
      <c r="W10" s="113">
        <f ca="1">IF(V10="","",IF(strikeType=DataValidation!$C$2,strike,IF(strikeType=DataValidation!$C$3,IF(ROWS($W$9:W10)&lt;=12,StepUp1,IF(ROWS($W$9:W10)&lt;=24,StepUp2,IF(ROWS($W$9:W10)&lt;=36,StepUp3,IF(ROWS($W$9:W10)&lt;=48,StepUp4,IF(ROWS($W$9:W10)&lt;=60,StepUp5,IF(ROWS($W$9:W10)&lt;=72,StepUp6,IF(ROWS($W$9:W10)&lt;=84,StepUp7,0))))))))))</f>
        <v>0.02</v>
      </c>
      <c r="X10" s="101">
        <f ca="1">IF(V10="","",IF(AND(strikeType=DataValidation!$C$2,V10&gt;strike),('Cap Pricer'!V10-strike)*notional*((Volatilities_Resets!D5-Volatilities_Resets!C5)/360),IF(AND(strikeType=DataValidation!$C$3,V10&gt;W10),(V10-W10)*notional*((Volatilities_Resets!D5-Volatilities_Resets!C5)/360),0)))</f>
        <v>72378.756944444438</v>
      </c>
      <c r="Y10" s="101">
        <f ca="1">IF(P10="","",(IF(X10&gt;0, ((VLOOKUP('Cap Pricer'!$P10,Calculator!$C$15:$T$98,18))*X10), 0)))</f>
        <v>71726.826910082309</v>
      </c>
      <c r="AA10" s="122"/>
      <c r="AB10" s="122"/>
    </row>
    <row r="11" spans="1:28" ht="16.5" thickBot="1" x14ac:dyDescent="0.3">
      <c r="F11" s="85"/>
      <c r="G11" s="222"/>
      <c r="H11" s="222"/>
      <c r="I11" s="222"/>
      <c r="J11" s="222"/>
      <c r="K11" s="222"/>
      <c r="L11" s="222"/>
      <c r="M11" s="222"/>
      <c r="N11" s="222"/>
      <c r="O11" s="86"/>
      <c r="P11" s="108">
        <f ca="1">IF($Q11="","",COUNT($Q$9:$Q11))</f>
        <v>3</v>
      </c>
      <c r="Q11" s="111">
        <f ca="1">IF($Q10="","",IF($Q10&lt;EDATE(DataValidation!$I$13,$E$19-1),EDATE($Q10,1),""))</f>
        <v>45252</v>
      </c>
      <c r="R11" s="98"/>
      <c r="S11" s="173">
        <f ca="1">IF(Q11="","",(VLOOKUP($Q11,Calculator!$D$15:$L$98,9)+SUM(DataValidation!$I$16:$I$17)/$E$19))</f>
        <v>70657.871410870794</v>
      </c>
      <c r="T11" s="113">
        <f t="shared" ca="1" si="0"/>
        <v>3.5423283876439435E-2</v>
      </c>
      <c r="U11" s="116"/>
      <c r="V11" s="113">
        <f ca="1">IF(P11="","",'Vols - Forward Curve'!P4)</f>
        <v>5.4037599999999998E-2</v>
      </c>
      <c r="W11" s="113">
        <f ca="1">IF(V11="","",IF(strikeType=DataValidation!$C$2,strike,IF(strikeType=DataValidation!$C$3,IF(ROWS($W$9:W11)&lt;=12,StepUp1,IF(ROWS($W$9:W11)&lt;=24,StepUp2,IF(ROWS($W$9:W11)&lt;=36,StepUp3,IF(ROWS($W$9:W11)&lt;=48,StepUp4,IF(ROWS($W$9:W11)&lt;=60,StepUp5,IF(ROWS($W$9:W11)&lt;=72,StepUp6,IF(ROWS($W$9:W11)&lt;=84,StepUp7,0))))))))))</f>
        <v>0.02</v>
      </c>
      <c r="X11" s="101">
        <f ca="1">IF(V11="","",IF(AND(strikeType=DataValidation!$C$2,V11&gt;strike),('Cap Pricer'!V11-strike)*notional*((Volatilities_Resets!D6-Volatilities_Resets!C6)/360),IF(AND(strikeType=DataValidation!$C$3,V11&gt;W11),(V11-W11)*notional*((Volatilities_Resets!D6-Volatilities_Resets!C6)/360),0)))</f>
        <v>70911.666666666657</v>
      </c>
      <c r="Y11" s="101">
        <f ca="1">IF(P11="","",(IF(X11&gt;0, ((VLOOKUP('Cap Pricer'!$P11,Calculator!$C$15:$T$98,18))*X11), 0)))</f>
        <v>69957.172554449658</v>
      </c>
      <c r="Z11" s="101"/>
      <c r="AA11" s="123"/>
      <c r="AB11" s="123"/>
    </row>
    <row r="12" spans="1:28" x14ac:dyDescent="0.25">
      <c r="C12" s="203" t="str">
        <f>IF($E$21=DataValidation!F3,"CAP COST (%)","CAP COST ($)")</f>
        <v>CAP COST ($)</v>
      </c>
      <c r="D12" s="204"/>
      <c r="E12" s="218">
        <f ca="1">IFERROR(_xlfn.IFNA(IF($E$21=DataValidation!$F$2,ROUNDUP(SUM(DataValidation!I15+DataValidation!J16+DataValidation!I17),-3),TEXT((ROUNDUP(SUM(DataValidation!I15+DataValidation!J16+DataValidation!I17),-3)/E18),"0.000%")),"ERROR"),"ERROR")</f>
        <v>1995000</v>
      </c>
      <c r="F12" s="87"/>
      <c r="G12" s="222"/>
      <c r="H12" s="222"/>
      <c r="I12" s="222"/>
      <c r="J12" s="222"/>
      <c r="K12" s="222"/>
      <c r="L12" s="222"/>
      <c r="M12" s="222"/>
      <c r="N12" s="222"/>
      <c r="O12" s="86"/>
      <c r="P12" s="108">
        <f ca="1">IF($Q12="","",COUNT($Q$9:$Q12))</f>
        <v>4</v>
      </c>
      <c r="Q12" s="111">
        <f ca="1">IF($Q11="","",IF($Q11&lt;EDATE(DataValidation!$I$13,$E$19-1),EDATE($Q11,1),""))</f>
        <v>45282</v>
      </c>
      <c r="R12" s="98"/>
      <c r="S12" s="173">
        <f ca="1">IF(Q12="","",(VLOOKUP($Q12,Calculator!$D$15:$L$98,9)+SUM(DataValidation!$I$16:$I$17)/$E$19))</f>
        <v>73511.758993480456</v>
      </c>
      <c r="T12" s="113">
        <f t="shared" ca="1" si="0"/>
        <v>3.6854038411944366E-2</v>
      </c>
      <c r="U12" s="116"/>
      <c r="V12" s="113">
        <f ca="1">IF(P12="","",'Vols - Forward Curve'!P5)</f>
        <v>5.4432999999999995E-2</v>
      </c>
      <c r="W12" s="113">
        <f ca="1">IF(V12="","",IF(strikeType=DataValidation!$C$2,strike,IF(strikeType=DataValidation!$C$3,IF(ROWS($W$9:W12)&lt;=12,StepUp1,IF(ROWS($W$9:W12)&lt;=24,StepUp2,IF(ROWS($W$9:W12)&lt;=36,StepUp3,IF(ROWS($W$9:W12)&lt;=48,StepUp4,IF(ROWS($W$9:W12)&lt;=60,StepUp5,IF(ROWS($W$9:W12)&lt;=72,StepUp6,IF(ROWS($W$9:W12)&lt;=84,StepUp7,0))))))))))</f>
        <v>0.02</v>
      </c>
      <c r="X12" s="101">
        <f ca="1">IF(V12="","",IF(AND(strikeType=DataValidation!$C$2,V12&gt;strike),('Cap Pricer'!V12-strike)*notional*((Volatilities_Resets!D7-Volatilities_Resets!C7)/360),IF(AND(strikeType=DataValidation!$C$3,V12&gt;W12),(V12-W12)*notional*((Volatilities_Resets!D7-Volatilities_Resets!C7)/360),0)))</f>
        <v>74126.597222222204</v>
      </c>
      <c r="Y12" s="101">
        <f ca="1">IF(P12="","",(IF(X12&gt;0, ((VLOOKUP('Cap Pricer'!$P12,Calculator!$C$15:$T$98,18))*X12), 0)))</f>
        <v>72786.938515154587</v>
      </c>
      <c r="Z12" s="101"/>
      <c r="AA12" s="123"/>
      <c r="AB12" s="123"/>
    </row>
    <row r="13" spans="1:28" ht="16.5" thickBot="1" x14ac:dyDescent="0.3">
      <c r="C13" s="216"/>
      <c r="D13" s="217"/>
      <c r="E13" s="219"/>
      <c r="F13" s="179"/>
      <c r="G13" s="222"/>
      <c r="H13" s="222"/>
      <c r="I13" s="222"/>
      <c r="J13" s="222"/>
      <c r="K13" s="222"/>
      <c r="L13" s="222"/>
      <c r="M13" s="222"/>
      <c r="N13" s="222"/>
      <c r="O13" s="86"/>
      <c r="P13" s="108">
        <f ca="1">IF($Q13="","",COUNT($Q$9:$Q13))</f>
        <v>5</v>
      </c>
      <c r="Q13" s="111">
        <f ca="1">IF($Q12="","",IF($Q12&lt;EDATE(DataValidation!$I$13,$E$19-1),EDATE($Q12,1),""))</f>
        <v>45313</v>
      </c>
      <c r="R13" s="98"/>
      <c r="S13" s="173">
        <f ca="1">IF(Q13="","",(VLOOKUP($Q13,Calculator!$D$15:$L$98,9)+SUM(DataValidation!$I$16:$I$17)/$E$19))</f>
        <v>73194.506186865299</v>
      </c>
      <c r="T13" s="113">
        <f t="shared" ca="1" si="0"/>
        <v>3.6694988386732359E-2</v>
      </c>
      <c r="U13" s="116"/>
      <c r="V13" s="113">
        <f ca="1">IF(P13="","",'Vols - Forward Curve'!P6)</f>
        <v>5.4416900000000004E-2</v>
      </c>
      <c r="W13" s="113">
        <f ca="1">IF(V13="","",IF(strikeType=DataValidation!$C$2,strike,IF(strikeType=DataValidation!$C$3,IF(ROWS($W$9:W13)&lt;=12,StepUp1,IF(ROWS($W$9:W13)&lt;=24,StepUp2,IF(ROWS($W$9:W13)&lt;=36,StepUp3,IF(ROWS($W$9:W13)&lt;=48,StepUp4,IF(ROWS($W$9:W13)&lt;=60,StepUp5,IF(ROWS($W$9:W13)&lt;=72,StepUp6,IF(ROWS($W$9:W13)&lt;=84,StepUp7,0))))))))))</f>
        <v>0.02</v>
      </c>
      <c r="X13" s="101">
        <f ca="1">IF(V13="","",IF(AND(strikeType=DataValidation!$C$2,V13&gt;strike),('Cap Pricer'!V13-strike)*notional*((Volatilities_Resets!D8-Volatilities_Resets!C8)/360),IF(AND(strikeType=DataValidation!$C$3,V13&gt;W13),(V13-W13)*notional*((Volatilities_Resets!D8-Volatilities_Resets!C8)/360),0)))</f>
        <v>74091.9375</v>
      </c>
      <c r="Y13" s="101">
        <f ca="1">IF(P13="","",(IF(X13&gt;0, ((VLOOKUP('Cap Pricer'!$P13,Calculator!$C$15:$T$98,18))*X13), 0)))</f>
        <v>72412.838152067721</v>
      </c>
      <c r="AA13" s="123"/>
      <c r="AB13" s="123"/>
    </row>
    <row r="14" spans="1:28" x14ac:dyDescent="0.25">
      <c r="C14" s="220" t="str">
        <f ca="1">IF($E$19&gt;84,"Max Term is 84 Months - Please Use a Shorter Term",IF(strike&lt;0.01%,"Minimum Strike is 0.01% - Please Use a Higher Strike",IF(ISERROR(DataValidation!$I$15)=TRUE,"Max Strike is 6.00% - Please Use a Lower Strike","")))</f>
        <v/>
      </c>
      <c r="D14" s="220"/>
      <c r="E14" s="220"/>
      <c r="F14" s="180"/>
      <c r="G14" s="222"/>
      <c r="H14" s="222"/>
      <c r="I14" s="222"/>
      <c r="J14" s="222"/>
      <c r="K14" s="222"/>
      <c r="L14" s="222"/>
      <c r="M14" s="222"/>
      <c r="N14" s="222"/>
      <c r="O14" s="97"/>
      <c r="P14" s="108">
        <f ca="1">IF($Q14="","",COUNT($Q$9:$Q14))</f>
        <v>6</v>
      </c>
      <c r="Q14" s="111">
        <f ca="1">IF($Q13="","",IF($Q13&lt;EDATE(DataValidation!$I$13,$E$19-1),EDATE($Q13,1),""))</f>
        <v>45344</v>
      </c>
      <c r="R14" s="98"/>
      <c r="S14" s="173">
        <f ca="1">IF(Q14="","",(VLOOKUP($Q14,Calculator!$D$15:$L$98,9)+SUM(DataValidation!$I$16:$I$17)/$E$19))</f>
        <v>68137.15405085434</v>
      </c>
      <c r="T14" s="113">
        <f t="shared" ca="1" si="0"/>
        <v>3.415955932837169E-2</v>
      </c>
      <c r="U14" s="116"/>
      <c r="V14" s="113">
        <f ca="1">IF(P14="","",'Vols - Forward Curve'!P7)</f>
        <v>5.4331500000000005E-2</v>
      </c>
      <c r="W14" s="113">
        <f ca="1">IF(V14="","",IF(strikeType=DataValidation!$C$2,strike,IF(strikeType=DataValidation!$C$3,IF(ROWS($W$9:W14)&lt;=12,StepUp1,IF(ROWS($W$9:W14)&lt;=24,StepUp2,IF(ROWS($W$9:W14)&lt;=36,StepUp3,IF(ROWS($W$9:W14)&lt;=48,StepUp4,IF(ROWS($W$9:W14)&lt;=60,StepUp5,IF(ROWS($W$9:W14)&lt;=72,StepUp6,IF(ROWS($W$9:W14)&lt;=84,StepUp7,0))))))))))</f>
        <v>0.02</v>
      </c>
      <c r="X14" s="101">
        <f ca="1">IF(V14="","",IF(AND(strikeType=DataValidation!$C$2,V14&gt;strike),('Cap Pricer'!V14-strike)*notional*((Volatilities_Resets!D9-Volatilities_Resets!C9)/360),IF(AND(strikeType=DataValidation!$C$3,V14&gt;W14),(V14-W14)*notional*((Volatilities_Resets!D9-Volatilities_Resets!C9)/360),0)))</f>
        <v>69139.826388888891</v>
      </c>
      <c r="Y14" s="101">
        <f ca="1">IF(P14="","",(IF(X14&gt;0, ((VLOOKUP('Cap Pricer'!$P14,Calculator!$C$15:$T$98,18))*X14), 0)))</f>
        <v>67277.75470718203</v>
      </c>
      <c r="Z14" s="171"/>
      <c r="AA14" s="123"/>
      <c r="AB14" s="123"/>
    </row>
    <row r="15" spans="1:28" x14ac:dyDescent="0.25">
      <c r="C15" s="220"/>
      <c r="D15" s="220"/>
      <c r="E15" s="220"/>
      <c r="F15" s="181"/>
      <c r="G15" s="97"/>
      <c r="H15" s="97"/>
      <c r="I15" s="97"/>
      <c r="J15" s="97"/>
      <c r="K15" s="97"/>
      <c r="L15" s="97"/>
      <c r="M15" s="97"/>
      <c r="N15" s="97"/>
      <c r="O15" s="97"/>
      <c r="P15" s="108">
        <f ca="1">IF($Q15="","",COUNT($Q$9:$Q15))</f>
        <v>7</v>
      </c>
      <c r="Q15" s="111">
        <f ca="1">IF($Q14="","",IF($Q14&lt;EDATE(DataValidation!$I$13,$E$19-1),EDATE($Q14,1),""))</f>
        <v>45373</v>
      </c>
      <c r="R15" s="98"/>
      <c r="S15" s="173">
        <f ca="1">IF(Q15="","",(VLOOKUP($Q15,Calculator!$D$15:$L$98,9)+SUM(DataValidation!$I$16:$I$17)/$E$19))</f>
        <v>72079.592033153953</v>
      </c>
      <c r="T15" s="113">
        <f t="shared" ca="1" si="0"/>
        <v>3.6136042585278437E-2</v>
      </c>
      <c r="U15" s="116"/>
      <c r="V15" s="113">
        <f ca="1">IF(P15="","",'Vols - Forward Curve'!P8)</f>
        <v>5.4095299999999999E-2</v>
      </c>
      <c r="W15" s="113">
        <f ca="1">IF(V15="","",IF(strikeType=DataValidation!$C$2,strike,IF(strikeType=DataValidation!$C$3,IF(ROWS($W$9:W15)&lt;=12,StepUp1,IF(ROWS($W$9:W15)&lt;=24,StepUp2,IF(ROWS($W$9:W15)&lt;=36,StepUp3,IF(ROWS($W$9:W15)&lt;=48,StepUp4,IF(ROWS($W$9:W15)&lt;=60,StepUp5,IF(ROWS($W$9:W15)&lt;=72,StepUp6,IF(ROWS($W$9:W15)&lt;=84,StepUp7,0))))))))))</f>
        <v>0.02</v>
      </c>
      <c r="X15" s="101">
        <f ca="1">IF(V15="","",IF(AND(strikeType=DataValidation!$C$2,V15&gt;strike),('Cap Pricer'!V15-strike)*notional*((Volatilities_Resets!D10-Volatilities_Resets!C10)/360),IF(AND(strikeType=DataValidation!$C$3,V15&gt;W15),(V15-W15)*notional*((Volatilities_Resets!D10-Volatilities_Resets!C10)/360),0)))</f>
        <v>73399.604166666657</v>
      </c>
      <c r="Y15" s="101">
        <f ca="1">IF(P15="","",(IF(X15&gt;0, ((VLOOKUP('Cap Pricer'!$P15,Calculator!$C$15:$T$98,18))*X15), 0)))</f>
        <v>71090.890262721092</v>
      </c>
      <c r="Z15" s="170"/>
      <c r="AA15" s="123"/>
      <c r="AB15" s="123"/>
    </row>
    <row r="16" spans="1:28" ht="16.5" thickBot="1" x14ac:dyDescent="0.3">
      <c r="C16" s="94" t="s">
        <v>96</v>
      </c>
      <c r="D16" s="94"/>
      <c r="E16" s="94"/>
      <c r="F16" s="180"/>
      <c r="G16" s="94" t="s">
        <v>72</v>
      </c>
      <c r="H16" s="94"/>
      <c r="I16" s="94"/>
      <c r="J16" s="94"/>
      <c r="K16" s="94"/>
      <c r="L16" s="94"/>
      <c r="M16" s="94"/>
      <c r="N16" s="94"/>
      <c r="O16" s="97"/>
      <c r="P16" s="108">
        <f ca="1">IF($Q16="","",COUNT($Q$9:$Q16))</f>
        <v>8</v>
      </c>
      <c r="Q16" s="111">
        <f ca="1">IF($Q15="","",IF($Q15&lt;EDATE(DataValidation!$I$13,$E$19-1),EDATE($Q15,1),""))</f>
        <v>45404</v>
      </c>
      <c r="R16" s="98"/>
      <c r="S16" s="173">
        <f ca="1">IF(Q16="","",(VLOOKUP($Q16,Calculator!$D$15:$L$98,9)+SUM(DataValidation!$I$16:$I$17)/$E$19))</f>
        <v>68418.334906523087</v>
      </c>
      <c r="T16" s="113">
        <f t="shared" ca="1" si="0"/>
        <v>3.4300525211890247E-2</v>
      </c>
      <c r="U16" s="116"/>
      <c r="V16" s="113">
        <f ca="1">IF(P16="","",'Vols - Forward Curve'!P9)</f>
        <v>5.3469800000000005E-2</v>
      </c>
      <c r="W16" s="113">
        <f ca="1">IF(V16="","",IF(strikeType=DataValidation!$C$2,strike,IF(strikeType=DataValidation!$C$3,IF(ROWS($W$9:W16)&lt;=12,StepUp1,IF(ROWS($W$9:W16)&lt;=24,StepUp2,IF(ROWS($W$9:W16)&lt;=36,StepUp3,IF(ROWS($W$9:W16)&lt;=48,StepUp4,IF(ROWS($W$9:W16)&lt;=60,StepUp5,IF(ROWS($W$9:W16)&lt;=72,StepUp6,IF(ROWS($W$9:W16)&lt;=84,StepUp7,0))))))))))</f>
        <v>0.02</v>
      </c>
      <c r="X16" s="101">
        <f ca="1">IF(V16="","",IF(AND(strikeType=DataValidation!$C$2,V16&gt;strike),('Cap Pricer'!V16-strike)*notional*((Volatilities_Resets!D11-Volatilities_Resets!C11)/360),IF(AND(strikeType=DataValidation!$C$3,V16&gt;W16),(V16-W16)*notional*((Volatilities_Resets!D11-Volatilities_Resets!C11)/360),0)))</f>
        <v>69728.750000000015</v>
      </c>
      <c r="Y16" s="101">
        <f ca="1">IF(P16="","",(IF(X16&gt;0, ((VLOOKUP('Cap Pricer'!$P16,Calculator!$C$15:$T$98,18))*X16), 0)))</f>
        <v>67235.281156972269</v>
      </c>
      <c r="Z16" s="170"/>
      <c r="AA16" s="123"/>
      <c r="AB16" s="123"/>
    </row>
    <row r="17" spans="1:28" ht="16.5" thickBot="1" x14ac:dyDescent="0.3">
      <c r="C17" s="85"/>
      <c r="D17" s="85"/>
      <c r="E17" s="85"/>
      <c r="F17" s="180"/>
      <c r="P17" s="108">
        <f ca="1">IF($Q17="","",COUNT($Q$9:$Q17))</f>
        <v>9</v>
      </c>
      <c r="Q17" s="111">
        <f ca="1">IF($Q16="","",IF($Q16&lt;EDATE(DataValidation!$I$13,$E$19-1),EDATE($Q16,1),""))</f>
        <v>45434</v>
      </c>
      <c r="R17" s="98"/>
      <c r="S17" s="173">
        <f ca="1">IF(Q17="","",(VLOOKUP($Q17,Calculator!$D$15:$L$98,9)+SUM(DataValidation!$I$16:$I$17)/$E$19))</f>
        <v>69402.500393711991</v>
      </c>
      <c r="T17" s="113">
        <f t="shared" ca="1" si="0"/>
        <v>3.4793922093765792E-2</v>
      </c>
      <c r="U17" s="116"/>
      <c r="V17" s="113">
        <f ca="1">IF(P17="","",'Vols - Forward Curve'!P10)</f>
        <v>5.2872300000000004E-2</v>
      </c>
      <c r="W17" s="113">
        <f ca="1">IF(V17="","",IF(strikeType=DataValidation!$C$2,strike,IF(strikeType=DataValidation!$C$3,IF(ROWS($W$9:W17)&lt;=12,StepUp1,IF(ROWS($W$9:W17)&lt;=24,StepUp2,IF(ROWS($W$9:W17)&lt;=36,StepUp3,IF(ROWS($W$9:W17)&lt;=48,StepUp4,IF(ROWS($W$9:W17)&lt;=60,StepUp5,IF(ROWS($W$9:W17)&lt;=72,StepUp6,IF(ROWS($W$9:W17)&lt;=84,StepUp7,0))))))))))</f>
        <v>0.02</v>
      </c>
      <c r="X17" s="101">
        <f ca="1">IF(V17="","",IF(AND(strikeType=DataValidation!$C$2,V17&gt;strike),('Cap Pricer'!V17-strike)*notional*((Volatilities_Resets!D12-Volatilities_Resets!C12)/360),IF(AND(strikeType=DataValidation!$C$3,V17&gt;W17),(V17-W17)*notional*((Volatilities_Resets!D12-Volatilities_Resets!C12)/360),0)))</f>
        <v>70766.756944444467</v>
      </c>
      <c r="Y17" s="101">
        <f ca="1">IF(P17="","",(IF(X17&gt;0, ((VLOOKUP('Cap Pricer'!$P17,Calculator!$C$15:$T$98,18))*X17), 0)))</f>
        <v>67926.090939192887</v>
      </c>
      <c r="AA17" s="121"/>
      <c r="AB17" s="121"/>
    </row>
    <row r="18" spans="1:28" x14ac:dyDescent="0.25">
      <c r="C18" s="89" t="s">
        <v>9</v>
      </c>
      <c r="D18" s="89"/>
      <c r="E18" s="184">
        <v>25000000</v>
      </c>
      <c r="F18" s="181"/>
      <c r="G18" s="125" t="s">
        <v>47</v>
      </c>
      <c r="H18" s="191" t="s">
        <v>59</v>
      </c>
      <c r="I18" s="226" t="s">
        <v>54</v>
      </c>
      <c r="J18" s="226"/>
      <c r="K18" s="226" t="s">
        <v>55</v>
      </c>
      <c r="L18" s="226"/>
      <c r="M18" s="226" t="s">
        <v>60</v>
      </c>
      <c r="N18" s="227"/>
      <c r="P18" s="108">
        <f ca="1">IF($Q18="","",COUNT($Q$9:$Q18))</f>
        <v>10</v>
      </c>
      <c r="Q18" s="111">
        <f ca="1">IF($Q17="","",IF($Q17&lt;EDATE(DataValidation!$I$13,$E$19-1),EDATE($Q17,1),""))</f>
        <v>45465</v>
      </c>
      <c r="R18" s="98"/>
      <c r="S18" s="173">
        <f ca="1">IF(Q18="","",(VLOOKUP($Q18,Calculator!$D$15:$L$98,9)+SUM(DataValidation!$I$16:$I$17)/$E$19))</f>
        <v>66124.508160114521</v>
      </c>
      <c r="T18" s="113">
        <f t="shared" ca="1" si="0"/>
        <v>3.3150548933537499E-2</v>
      </c>
      <c r="U18" s="116"/>
      <c r="V18" s="113">
        <f ca="1">IF(P18="","",'Vols - Forward Curve'!P11)</f>
        <v>5.2385599999999997E-2</v>
      </c>
      <c r="W18" s="113">
        <f ca="1">IF(V18="","",IF(strikeType=DataValidation!$C$2,strike,IF(strikeType=DataValidation!$C$3,IF(ROWS($W$9:W18)&lt;=12,StepUp1,IF(ROWS($W$9:W18)&lt;=24,StepUp2,IF(ROWS($W$9:W18)&lt;=36,StepUp3,IF(ROWS($W$9:W18)&lt;=48,StepUp4,IF(ROWS($W$9:W18)&lt;=60,StepUp5,IF(ROWS($W$9:W18)&lt;=72,StepUp6,IF(ROWS($W$9:W18)&lt;=84,StepUp7,0))))))))))</f>
        <v>0.02</v>
      </c>
      <c r="X18" s="101">
        <f ca="1">IF(V18="","",IF(AND(strikeType=DataValidation!$C$2,V18&gt;strike),('Cap Pricer'!V18-strike)*notional*((Volatilities_Resets!D13-Volatilities_Resets!C13)/360),IF(AND(strikeType=DataValidation!$C$3,V18&gt;W18),(V18-W18)*notional*((Volatilities_Resets!D13-Volatilities_Resets!C13)/360),0)))</f>
        <v>67470</v>
      </c>
      <c r="Y18" s="101">
        <f ca="1">IF(P18="","",(IF(X18&gt;0, ((VLOOKUP('Cap Pricer'!$P18,Calculator!$C$15:$T$98,18))*X18), 0)))</f>
        <v>64479.674562872213</v>
      </c>
      <c r="AA18" s="121"/>
      <c r="AB18" s="121"/>
    </row>
    <row r="19" spans="1:28" x14ac:dyDescent="0.25">
      <c r="C19" s="89" t="s">
        <v>46</v>
      </c>
      <c r="D19" s="89"/>
      <c r="E19" s="185">
        <v>36</v>
      </c>
      <c r="F19" s="180"/>
      <c r="G19" s="187">
        <v>0.03</v>
      </c>
      <c r="H19" s="189">
        <f ca="1">IF($E$21=DataValidation!$F$2,ROUNDUP(SUM(DataValidation!M15,DataValidation!S22,DataValidation!S29),-3),TEXT((ROUNDUP(SUM(DataValidation!M15,DataValidation!S22,DataValidation!S29),-3)/$E$18),"0.000%"))</f>
        <v>609000</v>
      </c>
      <c r="I19" s="202">
        <f ca="1">IF($E$21=DataValidation!$F$2,ROUNDUP(SUM(DataValidation!N15,DataValidation!T22,DataValidation!T29),-3),TEXT((ROUNDUP(SUM(DataValidation!N15,DataValidation!T22,DataValidation!T29),-3)/$E$18),"0.000%"))</f>
        <v>1040000</v>
      </c>
      <c r="J19" s="202"/>
      <c r="K19" s="202">
        <f ca="1">IF($E$21=DataValidation!$F$2,ROUNDUP(SUM(DataValidation!O15,DataValidation!U22,DataValidation!U29),-3),TEXT((ROUNDUP(SUM(DataValidation!O15,DataValidation!U22,DataValidation!U29),-3)/$E$18),"0.000%"))</f>
        <v>1385000</v>
      </c>
      <c r="L19" s="202"/>
      <c r="M19" s="202">
        <f ca="1">IF($E$21=DataValidation!$F$2,ROUNDUP(SUM(DataValidation!P15,DataValidation!V22,DataValidation!V29),-3),TEXT((ROUNDUP(SUM(DataValidation!P15,DataValidation!V22,DataValidation!V29),-3)/$E$18),"0.000%"))</f>
        <v>1689000</v>
      </c>
      <c r="N19" s="225"/>
      <c r="P19" s="108">
        <f ca="1">IF($Q19="","",COUNT($Q$9:$Q19))</f>
        <v>11</v>
      </c>
      <c r="Q19" s="111">
        <f ca="1">IF($Q18="","",IF($Q18&lt;EDATE(DataValidation!$I$13,$E$19-1),EDATE($Q18,1),""))</f>
        <v>45495</v>
      </c>
      <c r="R19" s="98"/>
      <c r="S19" s="173">
        <f ca="1">IF(Q19="","",(VLOOKUP($Q19,Calculator!$D$15:$L$98,9)+SUM(DataValidation!$I$16:$I$17)/$E$19))</f>
        <v>66566.498892138188</v>
      </c>
      <c r="T19" s="113">
        <f t="shared" ca="1" si="0"/>
        <v>3.3372134481737599E-2</v>
      </c>
      <c r="U19" s="116"/>
      <c r="V19" s="113">
        <f ca="1">IF(P19="","",'Vols - Forward Curve'!P12)</f>
        <v>5.1511599999999998E-2</v>
      </c>
      <c r="W19" s="113">
        <f ca="1">IF(V19="","",IF(strikeType=DataValidation!$C$2,strike,IF(strikeType=DataValidation!$C$3,IF(ROWS($W$9:W19)&lt;=12,StepUp1,IF(ROWS($W$9:W19)&lt;=24,StepUp2,IF(ROWS($W$9:W19)&lt;=36,StepUp3,IF(ROWS($W$9:W19)&lt;=48,StepUp4,IF(ROWS($W$9:W19)&lt;=60,StepUp5,IF(ROWS($W$9:W19)&lt;=72,StepUp6,IF(ROWS($W$9:W19)&lt;=84,StepUp7,0))))))))))</f>
        <v>0.02</v>
      </c>
      <c r="X19" s="101">
        <f ca="1">IF(V19="","",IF(AND(strikeType=DataValidation!$C$2,V19&gt;strike),('Cap Pricer'!V19-strike)*notional*((Volatilities_Resets!D14-Volatilities_Resets!C14)/360),IF(AND(strikeType=DataValidation!$C$3,V19&gt;W19),(V19-W19)*notional*((Volatilities_Resets!D14-Volatilities_Resets!C14)/360),0)))</f>
        <v>67837.472222222219</v>
      </c>
      <c r="Y19" s="101">
        <f ca="1">IF(P19="","",(IF(X19&gt;0, ((VLOOKUP('Cap Pricer'!$P19,Calculator!$C$15:$T$98,18))*X19), 0)))</f>
        <v>64543.712923983876</v>
      </c>
      <c r="AA19" s="121"/>
      <c r="AB19" s="121"/>
    </row>
    <row r="20" spans="1:28" x14ac:dyDescent="0.25">
      <c r="B20" s="182"/>
      <c r="C20" s="92" t="s">
        <v>97</v>
      </c>
      <c r="D20" s="92"/>
      <c r="E20" s="178" t="s">
        <v>125</v>
      </c>
      <c r="F20" s="180"/>
      <c r="G20" s="187">
        <v>0.04</v>
      </c>
      <c r="H20" s="189">
        <f ca="1">IF($E$21=DataValidation!$F$2,ROUNDUP(SUM(DataValidation!M16,DataValidation!S23,DataValidation!S30),-3),TEXT((ROUNDUP(SUM(DataValidation!M16,DataValidation!S23,DataValidation!S30),-3)/$E$18),"0.000%"))</f>
        <v>368000</v>
      </c>
      <c r="I20" s="202">
        <f ca="1">IF($E$21=DataValidation!$F$2,ROUNDUP(SUM(DataValidation!N16,DataValidation!T23,DataValidation!T30),-3),TEXT((ROUNDUP(SUM(DataValidation!N16,DataValidation!T23,DataValidation!T30),-3)/$E$18),"0.000%"))</f>
        <v>613000</v>
      </c>
      <c r="J20" s="202"/>
      <c r="K20" s="202">
        <f ca="1">IF($E$21=DataValidation!$F$2,ROUNDUP(SUM(DataValidation!O16,DataValidation!U23,DataValidation!U30),-3),TEXT((ROUNDUP(SUM(DataValidation!O16,DataValidation!U23,DataValidation!U30),-3)/$E$18),"0.000%"))</f>
        <v>816000</v>
      </c>
      <c r="L20" s="202"/>
      <c r="M20" s="202">
        <f ca="1">IF($E$21=DataValidation!$F$2,ROUNDUP(SUM(DataValidation!P16,DataValidation!V23,DataValidation!V30),-3),TEXT((ROUNDUP(SUM(DataValidation!P16,DataValidation!V23,DataValidation!V30),-3)/$E$18),"0.000%"))</f>
        <v>1009000</v>
      </c>
      <c r="N20" s="225"/>
      <c r="P20" s="108">
        <f ca="1">IF($Q20="","",COUNT($Q$9:$Q20))</f>
        <v>12</v>
      </c>
      <c r="Q20" s="111">
        <f ca="1">IF($Q19="","",IF($Q19&lt;EDATE(DataValidation!$I$13,$E$19-1),EDATE($Q19,1),""))</f>
        <v>45526</v>
      </c>
      <c r="R20" s="98"/>
      <c r="S20" s="173">
        <f ca="1">IF(Q20="","",(VLOOKUP($Q20,Calculator!$D$15:$L$98,9)+SUM(DataValidation!$I$16:$I$17)/$E$19))</f>
        <v>65304.332958952291</v>
      </c>
      <c r="T20" s="113">
        <f t="shared" ca="1" si="0"/>
        <v>3.2739366167922578E-2</v>
      </c>
      <c r="U20" s="116"/>
      <c r="V20" s="113">
        <f ca="1">IF(P20="","",'Vols - Forward Curve'!P13)</f>
        <v>5.0869799999999993E-2</v>
      </c>
      <c r="W20" s="113">
        <f ca="1">IF(V20="","",IF(strikeType=DataValidation!$C$2,strike,IF(strikeType=DataValidation!$C$3,IF(ROWS($W$9:W20)&lt;=12,StepUp1,IF(ROWS($W$9:W20)&lt;=24,StepUp2,IF(ROWS($W$9:W20)&lt;=36,StepUp3,IF(ROWS($W$9:W20)&lt;=48,StepUp4,IF(ROWS($W$9:W20)&lt;=60,StepUp5,IF(ROWS($W$9:W20)&lt;=72,StepUp6,IF(ROWS($W$9:W20)&lt;=84,StepUp7,0))))))))))</f>
        <v>0.02</v>
      </c>
      <c r="X20" s="101">
        <f ca="1">IF(V20="","",IF(AND(strikeType=DataValidation!$C$2,V20&gt;strike),('Cap Pricer'!V20-strike)*notional*((Volatilities_Resets!D15-Volatilities_Resets!C15)/360),IF(AND(strikeType=DataValidation!$C$3,V20&gt;W20),(V20-W20)*notional*((Volatilities_Resets!D15-Volatilities_Resets!C15)/360),0)))</f>
        <v>66455.819444444423</v>
      </c>
      <c r="Y20" s="101">
        <f ca="1">IF(P20="","",(IF(X20&gt;0, ((VLOOKUP('Cap Pricer'!$P20,Calculator!$C$15:$T$98,18))*X20), 0)))</f>
        <v>62952.549030808652</v>
      </c>
      <c r="AA20" s="121"/>
      <c r="AB20" s="121"/>
    </row>
    <row r="21" spans="1:28" x14ac:dyDescent="0.25">
      <c r="C21" s="89" t="s">
        <v>98</v>
      </c>
      <c r="E21" s="186" t="s">
        <v>70</v>
      </c>
      <c r="F21" s="90"/>
      <c r="G21" s="187">
        <v>0.05</v>
      </c>
      <c r="H21" s="189">
        <f ca="1">IF($E$21=DataValidation!$F$2,ROUNDUP(SUM(DataValidation!M17,DataValidation!S24,DataValidation!S31),-3),TEXT((ROUNDUP(SUM(DataValidation!M17,DataValidation!S24,DataValidation!S31),-3)/$E$18),"0.000%"))</f>
        <v>145000</v>
      </c>
      <c r="I21" s="202">
        <f ca="1">IF($E$21=DataValidation!$F$2,ROUNDUP(SUM(DataValidation!N17,DataValidation!T24,DataValidation!T31),-3),TEXT((ROUNDUP(SUM(DataValidation!N17,DataValidation!T24,DataValidation!T31),-3)/$E$18),"0.000%"))</f>
        <v>252000</v>
      </c>
      <c r="J21" s="202"/>
      <c r="K21" s="202">
        <f ca="1">IF($E$21=DataValidation!$F$2,ROUNDUP(SUM(DataValidation!O17,DataValidation!U24,DataValidation!U31),-3),TEXT((ROUNDUP(SUM(DataValidation!O17,DataValidation!U24,DataValidation!U31),-3)/$E$18),"0.000%"))</f>
        <v>359000</v>
      </c>
      <c r="L21" s="202"/>
      <c r="M21" s="202">
        <f ca="1">IF($E$21=DataValidation!$F$2,ROUNDUP(SUM(DataValidation!P17,DataValidation!V24,DataValidation!V31),-3),TEXT((ROUNDUP(SUM(DataValidation!P17,DataValidation!V24,DataValidation!V31),-3)/$E$18),"0.000%"))</f>
        <v>485000</v>
      </c>
      <c r="N21" s="225"/>
      <c r="P21" s="108">
        <f ca="1">IF($Q21="","",COUNT($Q$9:$Q21))</f>
        <v>13</v>
      </c>
      <c r="Q21" s="111">
        <f ca="1">IF($Q20="","",IF($Q20&lt;EDATE(DataValidation!$I$13,$E$19-1),EDATE($Q20,1),""))</f>
        <v>45557</v>
      </c>
      <c r="R21" s="98"/>
      <c r="S21" s="173">
        <f ca="1">IF(Q21="","",(VLOOKUP($Q21,Calculator!$D$15:$L$98,9)+SUM(DataValidation!$I$16:$I$17)/$E$19))</f>
        <v>56808.297359658973</v>
      </c>
      <c r="T21" s="113">
        <f t="shared" ca="1" si="0"/>
        <v>2.8480003766413835E-2</v>
      </c>
      <c r="U21" s="116"/>
      <c r="V21" s="113">
        <f ca="1">IF(P21="","",'Vols - Forward Curve'!P14)</f>
        <v>4.7367600000000003E-2</v>
      </c>
      <c r="W21" s="113">
        <f ca="1">IF(V21="","",IF(strikeType=DataValidation!$C$2,strike,IF(strikeType=DataValidation!$C$3,IF(ROWS($W$9:W21)&lt;=12,StepUp1,IF(ROWS($W$9:W21)&lt;=24,StepUp2,IF(ROWS($W$9:W21)&lt;=36,StepUp3,IF(ROWS($W$9:W21)&lt;=48,StepUp4,IF(ROWS($W$9:W21)&lt;=60,StepUp5,IF(ROWS($W$9:W21)&lt;=72,StepUp6,IF(ROWS($W$9:W21)&lt;=84,StepUp7,0))))))))))</f>
        <v>0.02</v>
      </c>
      <c r="X21" s="101">
        <f ca="1">IF(V21="","",IF(AND(strikeType=DataValidation!$C$2,V21&gt;strike),('Cap Pricer'!V21-strike)*notional*((Volatilities_Resets!D16-Volatilities_Resets!C16)/360),IF(AND(strikeType=DataValidation!$C$3,V21&gt;W21),(V21-W21)*notional*((Volatilities_Resets!D16-Volatilities_Resets!C16)/360),0)))</f>
        <v>57015.833333333343</v>
      </c>
      <c r="Y21" s="101">
        <f ca="1">IF(P21="","",(IF(X21&gt;0, ((VLOOKUP('Cap Pricer'!$P21,Calculator!$C$15:$T$98,18))*X21), 0)))</f>
        <v>53797.831896773627</v>
      </c>
      <c r="AA21" s="121"/>
      <c r="AB21" s="121"/>
    </row>
    <row r="22" spans="1:28" ht="16.5" thickBot="1" x14ac:dyDescent="0.3">
      <c r="C22" s="89" t="s">
        <v>48</v>
      </c>
      <c r="D22" s="89"/>
      <c r="E22" s="185" t="s">
        <v>50</v>
      </c>
      <c r="F22" s="91"/>
      <c r="G22" s="188">
        <v>0.06</v>
      </c>
      <c r="H22" s="190">
        <f ca="1">IF($E$21=DataValidation!$F$2,ROUNDUP(SUM(DataValidation!M18,DataValidation!S25,DataValidation!S32),-3),TEXT((ROUNDUP(SUM(DataValidation!M18,DataValidation!S25,DataValidation!S32),-3)/$E$18),"0.000%"))</f>
        <v>34000</v>
      </c>
      <c r="I22" s="223">
        <f ca="1">IF($E$21=DataValidation!$F$2,ROUNDUP(SUM(DataValidation!N18,DataValidation!T25,DataValidation!T32),-3),TEXT((ROUNDUP(SUM(DataValidation!N18,DataValidation!T25,DataValidation!T32),-3)/$E$18),"0.000%"))</f>
        <v>72000</v>
      </c>
      <c r="J22" s="223"/>
      <c r="K22" s="223">
        <f ca="1">IF($E$21=DataValidation!$F$2,ROUNDUP(SUM(DataValidation!O18,DataValidation!U25,DataValidation!U32),-3),TEXT((ROUNDUP(SUM(DataValidation!O18,DataValidation!U25,DataValidation!U32),-3)/$E$18),"0.000%"))</f>
        <v>133000</v>
      </c>
      <c r="L22" s="223"/>
      <c r="M22" s="223">
        <f ca="1">IF($E$21=DataValidation!$F$2,ROUNDUP(SUM(DataValidation!P18,DataValidation!V25,DataValidation!V32),-3),TEXT((ROUNDUP(SUM(DataValidation!P18,DataValidation!V25,DataValidation!V32),-3)/$E$18),"0.000%"))</f>
        <v>208000</v>
      </c>
      <c r="N22" s="224"/>
      <c r="P22" s="108">
        <f ca="1">IF($Q22="","",COUNT($Q$9:$Q22))</f>
        <v>14</v>
      </c>
      <c r="Q22" s="111">
        <f ca="1">IF($Q21="","",IF($Q21&lt;EDATE(DataValidation!$I$13,$E$19-1),EDATE($Q21,1),""))</f>
        <v>45587</v>
      </c>
      <c r="R22" s="98"/>
      <c r="S22" s="173">
        <f ca="1">IF(Q22="","",(VLOOKUP($Q22,Calculator!$D$15:$L$98,9)+SUM(DataValidation!$I$16:$I$17)/$E$19))</f>
        <v>58564.420693393062</v>
      </c>
      <c r="T22" s="113">
        <f t="shared" ca="1" si="0"/>
        <v>2.9360410352838845E-2</v>
      </c>
      <c r="U22" s="116"/>
      <c r="V22" s="113">
        <f ca="1">IF(P22="","",'Vols - Forward Curve'!P15)</f>
        <v>4.7253200000000002E-2</v>
      </c>
      <c r="W22" s="113">
        <f ca="1">IF(V22="","",IF(strikeType=DataValidation!$C$2,strike,IF(strikeType=DataValidation!$C$3,IF(ROWS($W$9:W22)&lt;=12,StepUp1,IF(ROWS($W$9:W22)&lt;=24,StepUp2,IF(ROWS($W$9:W22)&lt;=36,StepUp3,IF(ROWS($W$9:W22)&lt;=48,StepUp4,IF(ROWS($W$9:W22)&lt;=60,StepUp5,IF(ROWS($W$9:W22)&lt;=72,StepUp6,IF(ROWS($W$9:W22)&lt;=84,StepUp7,0))))))))))</f>
        <v>0.02</v>
      </c>
      <c r="X22" s="101">
        <f ca="1">IF(V22="","",IF(AND(strikeType=DataValidation!$C$2,V22&gt;strike),('Cap Pricer'!V22-strike)*notional*((Volatilities_Resets!D17-Volatilities_Resets!C17)/360),IF(AND(strikeType=DataValidation!$C$3,V22&gt;W22),(V22-W22)*notional*((Volatilities_Resets!D17-Volatilities_Resets!C17)/360),0)))</f>
        <v>58670.083333333336</v>
      </c>
      <c r="Y22" s="101">
        <f ca="1">IF(P22="","",(IF(X22&gt;0, ((VLOOKUP('Cap Pricer'!$P22,Calculator!$C$15:$T$98,18))*X22), 0)))</f>
        <v>55133.491011841972</v>
      </c>
    </row>
    <row r="23" spans="1:28" x14ac:dyDescent="0.25">
      <c r="C23" s="89" t="s">
        <v>49</v>
      </c>
      <c r="D23" s="89"/>
      <c r="E23" s="192">
        <v>0.02</v>
      </c>
      <c r="F23" s="91"/>
      <c r="P23" s="108">
        <f ca="1">IF($Q23="","",COUNT($Q$9:$Q23))</f>
        <v>15</v>
      </c>
      <c r="Q23" s="111">
        <f ca="1">IF($Q22="","",IF($Q22&lt;EDATE(DataValidation!$I$13,$E$19-1),EDATE($Q22,1),""))</f>
        <v>45618</v>
      </c>
      <c r="R23" s="98"/>
      <c r="S23" s="173">
        <f ca="1">IF(Q23="","",(VLOOKUP($Q23,Calculator!$D$15:$L$98,9)+SUM(DataValidation!$I$16:$I$17)/$E$19))</f>
        <v>56784.461229896122</v>
      </c>
      <c r="T23" s="113">
        <f t="shared" ca="1" si="0"/>
        <v>2.8468053873581724E-2</v>
      </c>
      <c r="U23" s="116"/>
      <c r="V23" s="113">
        <f ca="1">IF(P23="","",'Vols - Forward Curve'!P16)</f>
        <v>4.7247000000000004E-2</v>
      </c>
      <c r="W23" s="113">
        <f ca="1">IF(V23="","",IF(strikeType=DataValidation!$C$2,strike,IF(strikeType=DataValidation!$C$3,IF(ROWS($W$9:W23)&lt;=12,StepUp1,IF(ROWS($W$9:W23)&lt;=24,StepUp2,IF(ROWS($W$9:W23)&lt;=36,StepUp3,IF(ROWS($W$9:W23)&lt;=48,StepUp4,IF(ROWS($W$9:W23)&lt;=60,StepUp5,IF(ROWS($W$9:W23)&lt;=72,StepUp6,IF(ROWS($W$9:W23)&lt;=84,StepUp7,0))))))))))</f>
        <v>0.02</v>
      </c>
      <c r="X23" s="101">
        <f ca="1">IF(V23="","",IF(AND(strikeType=DataValidation!$C$2,V23&gt;strike),('Cap Pricer'!V23-strike)*notional*((Volatilities_Resets!D18-Volatilities_Resets!C18)/360),IF(AND(strikeType=DataValidation!$C$3,V23&gt;W23),(V23-W23)*notional*((Volatilities_Resets!D18-Volatilities_Resets!C18)/360),0)))</f>
        <v>56764.583333333343</v>
      </c>
      <c r="Y23" s="101">
        <f ca="1">IF(P23="","",(IF(X23&gt;0, ((VLOOKUP('Cap Pricer'!$P23,Calculator!$C$15:$T$98,18))*X23), 0)))</f>
        <v>53133.598114789907</v>
      </c>
    </row>
    <row r="24" spans="1:28" ht="16.5" thickBot="1" x14ac:dyDescent="0.3">
      <c r="C24" s="95" t="s">
        <v>52</v>
      </c>
      <c r="D24" s="96"/>
      <c r="E24" s="95" t="s">
        <v>47</v>
      </c>
      <c r="F24" s="90"/>
      <c r="G24" s="94" t="s">
        <v>99</v>
      </c>
      <c r="H24" s="94"/>
      <c r="I24" s="94"/>
      <c r="J24" s="94"/>
      <c r="K24" s="94"/>
      <c r="L24" s="94"/>
      <c r="M24" s="94"/>
      <c r="N24" s="94"/>
      <c r="P24" s="108">
        <f ca="1">IF($Q24="","",COUNT($Q$9:$Q24))</f>
        <v>16</v>
      </c>
      <c r="Q24" s="111">
        <f ca="1">IF($Q23="","",IF($Q23&lt;EDATE(DataValidation!$I$13,$E$19-1),EDATE($Q23,1),""))</f>
        <v>45648</v>
      </c>
      <c r="R24" s="98"/>
      <c r="S24" s="173">
        <f ca="1">IF(Q24="","",(VLOOKUP($Q24,Calculator!$D$15:$L$98,9)+SUM(DataValidation!$I$16:$I$17)/$E$19))</f>
        <v>58769.300260829128</v>
      </c>
      <c r="T24" s="113">
        <f t="shared" ca="1" si="0"/>
        <v>2.9463123708518182E-2</v>
      </c>
      <c r="U24" s="116"/>
      <c r="V24" s="113">
        <f ca="1">IF(P24="","",'Vols - Forward Curve'!P17)</f>
        <v>4.7253200000000002E-2</v>
      </c>
      <c r="W24" s="113">
        <f ca="1">IF(V24="","",IF(strikeType=DataValidation!$C$2,strike,IF(strikeType=DataValidation!$C$3,IF(ROWS($W$9:W24)&lt;=12,StepUp1,IF(ROWS($W$9:W24)&lt;=24,StepUp2,IF(ROWS($W$9:W24)&lt;=36,StepUp3,IF(ROWS($W$9:W24)&lt;=48,StepUp4,IF(ROWS($W$9:W24)&lt;=60,StepUp5,IF(ROWS($W$9:W24)&lt;=72,StepUp6,IF(ROWS($W$9:W24)&lt;=84,StepUp7,0))))))))))</f>
        <v>0.02</v>
      </c>
      <c r="X24" s="101">
        <f ca="1">IF(V24="","",IF(AND(strikeType=DataValidation!$C$2,V24&gt;strike),('Cap Pricer'!V24-strike)*notional*((Volatilities_Resets!D19-Volatilities_Resets!C19)/360),IF(AND(strikeType=DataValidation!$C$3,V24&gt;W24),(V24-W24)*notional*((Volatilities_Resets!D19-Volatilities_Resets!C19)/360),0)))</f>
        <v>58670.083333333336</v>
      </c>
      <c r="Y24" s="101">
        <f ca="1">IF(P24="","",(IF(X24&gt;0, ((VLOOKUP('Cap Pricer'!$P24,Calculator!$C$15:$T$98,18))*X24), 0)))</f>
        <v>54693.839895799349</v>
      </c>
    </row>
    <row r="25" spans="1:28" ht="16.5" thickBot="1" x14ac:dyDescent="0.3">
      <c r="C25" s="116">
        <v>1</v>
      </c>
      <c r="D25" s="89"/>
      <c r="E25" s="193"/>
      <c r="F25" s="90"/>
      <c r="P25" s="108">
        <f ca="1">IF($Q25="","",COUNT($Q$9:$Q25))</f>
        <v>17</v>
      </c>
      <c r="Q25" s="111">
        <f ca="1">IF($Q24="","",IF($Q24&lt;EDATE(DataValidation!$I$13,$E$19-1),EDATE($Q24,1),""))</f>
        <v>45679</v>
      </c>
      <c r="R25" s="98"/>
      <c r="S25" s="173">
        <f ca="1">IF(Q25="","",(VLOOKUP($Q25,Calculator!$D$15:$L$98,9)+SUM(DataValidation!$I$16:$I$17)/$E$19))</f>
        <v>58965.43762827805</v>
      </c>
      <c r="T25" s="113">
        <f t="shared" ca="1" si="0"/>
        <v>2.9561454290903261E-2</v>
      </c>
      <c r="U25" s="116"/>
      <c r="V25" s="113">
        <f ca="1">IF(P25="","",'Vols - Forward Curve'!P18)</f>
        <v>4.7250100000000003E-2</v>
      </c>
      <c r="W25" s="113">
        <f ca="1">IF(V25="","",IF(strikeType=DataValidation!$C$2,strike,IF(strikeType=DataValidation!$C$3,IF(ROWS($W$9:W25)&lt;=12,StepUp1,IF(ROWS($W$9:W25)&lt;=24,StepUp2,IF(ROWS($W$9:W25)&lt;=36,StepUp3,IF(ROWS($W$9:W25)&lt;=48,StepUp4,IF(ROWS($W$9:W25)&lt;=60,StepUp5,IF(ROWS($W$9:W25)&lt;=72,StepUp6,IF(ROWS($W$9:W25)&lt;=84,StepUp7,0))))))))))</f>
        <v>0.02</v>
      </c>
      <c r="X25" s="101">
        <f ca="1">IF(V25="","",IF(AND(strikeType=DataValidation!$C$2,V25&gt;strike),('Cap Pricer'!V25-strike)*notional*((Volatilities_Resets!D20-Volatilities_Resets!C20)/360),IF(AND(strikeType=DataValidation!$C$3,V25&gt;W25),(V25-W25)*notional*((Volatilities_Resets!D20-Volatilities_Resets!C20)/360),0)))</f>
        <v>58663.409722222234</v>
      </c>
      <c r="Y25" s="101">
        <f ca="1">IF(P25="","",(IF(X25&gt;0, ((VLOOKUP('Cap Pricer'!$P25,Calculator!$C$15:$T$98,18))*X25), 0)))</f>
        <v>54465.238020579352</v>
      </c>
    </row>
    <row r="26" spans="1:28" x14ac:dyDescent="0.25">
      <c r="C26" s="116">
        <v>2</v>
      </c>
      <c r="D26" s="89"/>
      <c r="E26" s="193"/>
      <c r="G26" s="89" t="s">
        <v>87</v>
      </c>
      <c r="L26" s="203" t="s">
        <v>126</v>
      </c>
      <c r="M26" s="204"/>
      <c r="N26" s="205"/>
      <c r="P26" s="108">
        <f ca="1">IF($Q26="","",COUNT($Q$9:$Q26))</f>
        <v>18</v>
      </c>
      <c r="Q26" s="111">
        <f ca="1">IF($Q25="","",IF($Q25&lt;EDATE(DataValidation!$I$13,$E$19-1),EDATE($Q25,1),""))</f>
        <v>45710</v>
      </c>
      <c r="R26" s="98"/>
      <c r="S26" s="173">
        <f ca="1">IF(Q26="","",(VLOOKUP($Q26,Calculator!$D$15:$L$98,9)+SUM(DataValidation!$I$16:$I$17)/$E$19))</f>
        <v>53501.231301130647</v>
      </c>
      <c r="T26" s="113">
        <f t="shared" ca="1" si="0"/>
        <v>2.6822054871970303E-2</v>
      </c>
      <c r="U26" s="116"/>
      <c r="V26" s="113">
        <f ca="1">IF(P26="","",'Vols - Forward Curve'!P19)</f>
        <v>4.7240799999999999E-2</v>
      </c>
      <c r="W26" s="113">
        <f ca="1">IF(V26="","",IF(strikeType=DataValidation!$C$2,strike,IF(strikeType=DataValidation!$C$3,IF(ROWS($W$9:W26)&lt;=12,StepUp1,IF(ROWS($W$9:W26)&lt;=24,StepUp2,IF(ROWS($W$9:W26)&lt;=36,StepUp3,IF(ROWS($W$9:W26)&lt;=48,StepUp4,IF(ROWS($W$9:W26)&lt;=60,StepUp5,IF(ROWS($W$9:W26)&lt;=72,StepUp6,IF(ROWS($W$9:W26)&lt;=84,StepUp7,0))))))))))</f>
        <v>0.02</v>
      </c>
      <c r="X26" s="101">
        <f ca="1">IF(V26="","",IF(AND(strikeType=DataValidation!$C$2,V26&gt;strike),('Cap Pricer'!V26-strike)*notional*((Volatilities_Resets!D21-Volatilities_Resets!C21)/360),IF(AND(strikeType=DataValidation!$C$3,V26&gt;W26),(V26-W26)*notional*((Volatilities_Resets!D21-Volatilities_Resets!C21)/360),0)))</f>
        <v>52968.222222222226</v>
      </c>
      <c r="Y26" s="101">
        <f ca="1">IF(P26="","",(IF(X26&gt;0, ((VLOOKUP('Cap Pricer'!$P26,Calculator!$C$15:$T$98,18))*X26), 0)))</f>
        <v>48998.644876144062</v>
      </c>
    </row>
    <row r="27" spans="1:28" x14ac:dyDescent="0.25">
      <c r="C27" s="116">
        <v>3</v>
      </c>
      <c r="E27" s="193"/>
      <c r="G27" s="215" t="s">
        <v>88</v>
      </c>
      <c r="H27" s="215"/>
      <c r="L27" s="206"/>
      <c r="M27" s="207"/>
      <c r="N27" s="208"/>
      <c r="P27" s="108">
        <f ca="1">IF($Q27="","",COUNT($Q$9:$Q27))</f>
        <v>19</v>
      </c>
      <c r="Q27" s="111">
        <f ca="1">IF($Q26="","",IF($Q26&lt;EDATE(DataValidation!$I$13,$E$19-1),EDATE($Q26,1),""))</f>
        <v>45738</v>
      </c>
      <c r="R27" s="98"/>
      <c r="S27" s="173">
        <f ca="1">IF(Q27="","",(VLOOKUP($Q27,Calculator!$D$15:$L$98,9)+SUM(DataValidation!$I$16:$I$17)/$E$19))</f>
        <v>50606.018386662261</v>
      </c>
      <c r="T27" s="113">
        <f t="shared" ca="1" si="0"/>
        <v>2.537058248957175E-2</v>
      </c>
      <c r="U27" s="116"/>
      <c r="V27" s="113">
        <f ca="1">IF(P27="","",'Vols - Forward Curve'!P20)</f>
        <v>4.2025499999999993E-2</v>
      </c>
      <c r="W27" s="113">
        <f ca="1">IF(V27="","",IF(strikeType=DataValidation!$C$2,strike,IF(strikeType=DataValidation!$C$3,IF(ROWS($W$9:W27)&lt;=12,StepUp1,IF(ROWS($W$9:W27)&lt;=24,StepUp2,IF(ROWS($W$9:W27)&lt;=36,StepUp3,IF(ROWS($W$9:W27)&lt;=48,StepUp4,IF(ROWS($W$9:W27)&lt;=60,StepUp5,IF(ROWS($W$9:W27)&lt;=72,StepUp6,IF(ROWS($W$9:W27)&lt;=84,StepUp7,0))))))))))</f>
        <v>0.02</v>
      </c>
      <c r="X27" s="101">
        <f ca="1">IF(V27="","",IF(AND(strikeType=DataValidation!$C$2,V27&gt;strike),('Cap Pricer'!V27-strike)*notional*((Volatilities_Resets!D22-Volatilities_Resets!C22)/360),IF(AND(strikeType=DataValidation!$C$3,V27&gt;W27),(V27-W27)*notional*((Volatilities_Resets!D22-Volatilities_Resets!C22)/360),0)))</f>
        <v>47416.006944444423</v>
      </c>
      <c r="Y27" s="101">
        <f ca="1">IF(P27="","",(IF(X27&gt;0, ((VLOOKUP('Cap Pricer'!$P27,Calculator!$C$15:$T$98,18))*X27), 0)))</f>
        <v>43703.431944809279</v>
      </c>
    </row>
    <row r="28" spans="1:28" x14ac:dyDescent="0.25">
      <c r="C28" s="116">
        <v>4</v>
      </c>
      <c r="E28" s="193"/>
      <c r="L28" s="209">
        <f ca="1">SUMIF(Y9:Y92,"&lt;&gt;",Y9:Y92)</f>
        <v>1813078.4830355293</v>
      </c>
      <c r="M28" s="210"/>
      <c r="N28" s="211"/>
      <c r="P28" s="108">
        <f ca="1">IF($Q28="","",COUNT($Q$9:$Q28))</f>
        <v>20</v>
      </c>
      <c r="Q28" s="111">
        <f ca="1">IF($Q27="","",IF($Q27&lt;EDATE(DataValidation!$I$13,$E$19-1),EDATE($Q27,1),""))</f>
        <v>45769</v>
      </c>
      <c r="R28" s="98"/>
      <c r="S28" s="173">
        <f ca="1">IF(Q28="","",(VLOOKUP($Q28,Calculator!$D$15:$L$98,9)+SUM(DataValidation!$I$16:$I$17)/$E$19))</f>
        <v>48690.937261119951</v>
      </c>
      <c r="T28" s="113">
        <f t="shared" ca="1" si="0"/>
        <v>2.4410484753793378E-2</v>
      </c>
      <c r="U28" s="116"/>
      <c r="V28" s="113">
        <f ca="1">IF(P28="","",'Vols - Forward Curve'!P21)</f>
        <v>4.1688099999999999E-2</v>
      </c>
      <c r="W28" s="113">
        <f ca="1">IF(V28="","",IF(strikeType=DataValidation!$C$2,strike,IF(strikeType=DataValidation!$C$3,IF(ROWS($W$9:W28)&lt;=12,StepUp1,IF(ROWS($W$9:W28)&lt;=24,StepUp2,IF(ROWS($W$9:W28)&lt;=36,StepUp3,IF(ROWS($W$9:W28)&lt;=48,StepUp4,IF(ROWS($W$9:W28)&lt;=60,StepUp5,IF(ROWS($W$9:W28)&lt;=72,StepUp6,IF(ROWS($W$9:W28)&lt;=84,StepUp7,0))))))))))</f>
        <v>0.02</v>
      </c>
      <c r="X28" s="101">
        <f ca="1">IF(V28="","",IF(AND(strikeType=DataValidation!$C$2,V28&gt;strike),('Cap Pricer'!V28-strike)*notional*((Volatilities_Resets!D23-Volatilities_Resets!C23)/360),IF(AND(strikeType=DataValidation!$C$3,V28&gt;W28),(V28-W28)*notional*((Volatilities_Resets!D23-Volatilities_Resets!C23)/360),0)))</f>
        <v>45183.541666666664</v>
      </c>
      <c r="Y28" s="101">
        <f ca="1">IF(P28="","",(IF(X28&gt;0, ((VLOOKUP('Cap Pricer'!$P28,Calculator!$C$15:$T$98,18))*X28), 0)))</f>
        <v>41501.756694672156</v>
      </c>
    </row>
    <row r="29" spans="1:28" ht="16.5" thickBot="1" x14ac:dyDescent="0.3">
      <c r="A29" s="90"/>
      <c r="C29" s="116">
        <v>5</v>
      </c>
      <c r="E29" s="193"/>
      <c r="G29" s="89" t="s">
        <v>100</v>
      </c>
      <c r="I29" s="126">
        <f ca="1">ROUNDUP(SUM(DataValidation!I15+DataValidation!J16+DataValidation!I17),-3)</f>
        <v>1995000</v>
      </c>
      <c r="L29" s="212"/>
      <c r="M29" s="213"/>
      <c r="N29" s="214"/>
      <c r="P29" s="108">
        <f ca="1">IF($Q29="","",COUNT($Q$9:$Q29))</f>
        <v>21</v>
      </c>
      <c r="Q29" s="111">
        <f ca="1">IF($Q28="","",IF($Q28&lt;EDATE(DataValidation!$I$13,$E$19-1),EDATE($Q28,1),""))</f>
        <v>45799</v>
      </c>
      <c r="R29" s="98"/>
      <c r="S29" s="173">
        <f ca="1">IF(Q29="","",(VLOOKUP($Q29,Calculator!$D$15:$L$98,9)+SUM(DataValidation!$I$16:$I$17)/$E$19))</f>
        <v>50507.069465378969</v>
      </c>
      <c r="T29" s="113">
        <f t="shared" ca="1" si="0"/>
        <v>2.5320975904234589E-2</v>
      </c>
      <c r="U29" s="116"/>
      <c r="V29" s="113">
        <f ca="1">IF(P29="","",'Vols - Forward Curve'!P22)</f>
        <v>4.16833E-2</v>
      </c>
      <c r="W29" s="113">
        <f ca="1">IF(V29="","",IF(strikeType=DataValidation!$C$2,strike,IF(strikeType=DataValidation!$C$3,IF(ROWS($W$9:W29)&lt;=12,StepUp1,IF(ROWS($W$9:W29)&lt;=24,StepUp2,IF(ROWS($W$9:W29)&lt;=36,StepUp3,IF(ROWS($W$9:W29)&lt;=48,StepUp4,IF(ROWS($W$9:W29)&lt;=60,StepUp5,IF(ROWS($W$9:W29)&lt;=72,StepUp6,IF(ROWS($W$9:W29)&lt;=84,StepUp7,0))))))))))</f>
        <v>0.02</v>
      </c>
      <c r="X29" s="101">
        <f ca="1">IF(V29="","",IF(AND(strikeType=DataValidation!$C$2,V29&gt;strike),('Cap Pricer'!V29-strike)*notional*((Volatilities_Resets!D24-Volatilities_Resets!C24)/360),IF(AND(strikeType=DataValidation!$C$3,V29&gt;W29),(V29-W29)*notional*((Volatilities_Resets!D24-Volatilities_Resets!C24)/360),0)))</f>
        <v>46679.326388888891</v>
      </c>
      <c r="Y29" s="101">
        <f ca="1">IF(P29="","",(IF(X29&gt;0, ((VLOOKUP('Cap Pricer'!$P29,Calculator!$C$15:$T$98,18))*X29), 0)))</f>
        <v>42721.44928530691</v>
      </c>
    </row>
    <row r="30" spans="1:28" ht="16.5" thickBot="1" x14ac:dyDescent="0.3">
      <c r="A30" s="90"/>
      <c r="C30" s="116">
        <v>6</v>
      </c>
      <c r="E30" s="193"/>
      <c r="G30" s="99" t="s">
        <v>127</v>
      </c>
      <c r="H30" s="104"/>
      <c r="I30" s="127">
        <f ca="1">SUMIF(X9:X92,"&lt;&gt;",X9:X92)</f>
        <v>1937269.2013888895</v>
      </c>
      <c r="J30" s="89"/>
      <c r="K30" s="89"/>
      <c r="P30" s="108">
        <f ca="1">IF($Q30="","",COUNT($Q$9:$Q30))</f>
        <v>22</v>
      </c>
      <c r="Q30" s="111">
        <f ca="1">IF($Q29="","",IF($Q29&lt;EDATE(DataValidation!$I$13,$E$19-1),EDATE($Q29,1),""))</f>
        <v>45830</v>
      </c>
      <c r="R30" s="98"/>
      <c r="S30" s="173">
        <f ca="1">IF(Q30="","",(VLOOKUP($Q30,Calculator!$D$15:$L$98,9)+SUM(DataValidation!$I$16:$I$17)/$E$19))</f>
        <v>49102.151094427834</v>
      </c>
      <c r="T30" s="113">
        <f t="shared" ca="1" si="0"/>
        <v>2.4616640756802307E-2</v>
      </c>
      <c r="U30" s="116"/>
      <c r="V30" s="113">
        <f ca="1">IF(P30="","",'Vols - Forward Curve'!P23)</f>
        <v>4.16809E-2</v>
      </c>
      <c r="W30" s="113">
        <f ca="1">IF(V30="","",IF(strikeType=DataValidation!$C$2,strike,IF(strikeType=DataValidation!$C$3,IF(ROWS($W$9:W30)&lt;=12,StepUp1,IF(ROWS($W$9:W30)&lt;=24,StepUp2,IF(ROWS($W$9:W30)&lt;=36,StepUp3,IF(ROWS($W$9:W30)&lt;=48,StepUp4,IF(ROWS($W$9:W30)&lt;=60,StepUp5,IF(ROWS($W$9:W30)&lt;=72,StepUp6,IF(ROWS($W$9:W30)&lt;=84,StepUp7,0))))))))))</f>
        <v>0.02</v>
      </c>
      <c r="X30" s="101">
        <f ca="1">IF(V30="","",IF(AND(strikeType=DataValidation!$C$2,V30&gt;strike),('Cap Pricer'!V30-strike)*notional*((Volatilities_Resets!D25-Volatilities_Resets!C25)/360),IF(AND(strikeType=DataValidation!$C$3,V30&gt;W30),(V30-W30)*notional*((Volatilities_Resets!D25-Volatilities_Resets!C25)/360),0)))</f>
        <v>45168.541666666664</v>
      </c>
      <c r="Y30" s="101">
        <f ca="1">IF(P30="","",(IF(X30&gt;0, ((VLOOKUP('Cap Pricer'!$P30,Calculator!$C$15:$T$98,18))*X30), 0)))</f>
        <v>41195.810134093423</v>
      </c>
    </row>
    <row r="31" spans="1:28" x14ac:dyDescent="0.25">
      <c r="B31" s="90"/>
      <c r="C31" s="116">
        <v>7</v>
      </c>
      <c r="E31" s="193"/>
      <c r="G31" s="89" t="s">
        <v>108</v>
      </c>
      <c r="I31" s="126">
        <f ca="1">I30-I29</f>
        <v>-57730.798611110542</v>
      </c>
      <c r="J31" s="89"/>
      <c r="K31" s="89"/>
      <c r="P31" s="108">
        <f ca="1">IF($Q31="","",COUNT($Q$9:$Q31))</f>
        <v>23</v>
      </c>
      <c r="Q31" s="111">
        <f ca="1">IF($Q30="","",IF($Q30&lt;EDATE(DataValidation!$I$13,$E$19-1),EDATE($Q30,1),""))</f>
        <v>45860</v>
      </c>
      <c r="R31" s="98"/>
      <c r="S31" s="173">
        <f ca="1">IF(Q31="","",(VLOOKUP($Q31,Calculator!$D$15:$L$98,9)+SUM(DataValidation!$I$16:$I$17)/$E$19))</f>
        <v>50352.393746847927</v>
      </c>
      <c r="T31" s="113">
        <f t="shared" ca="1" si="0"/>
        <v>2.5243431509294405E-2</v>
      </c>
      <c r="U31" s="116"/>
      <c r="V31" s="113">
        <f ca="1">IF(P31="","",'Vols - Forward Curve'!P24)</f>
        <v>4.1685699999999999E-2</v>
      </c>
      <c r="W31" s="113">
        <f ca="1">IF(V31="","",IF(strikeType=DataValidation!$C$2,strike,IF(strikeType=DataValidation!$C$3,IF(ROWS($W$9:W31)&lt;=12,StepUp1,IF(ROWS($W$9:W31)&lt;=24,StepUp2,IF(ROWS($W$9:W31)&lt;=36,StepUp3,IF(ROWS($W$9:W31)&lt;=48,StepUp4,IF(ROWS($W$9:W31)&lt;=60,StepUp5,IF(ROWS($W$9:W31)&lt;=72,StepUp6,IF(ROWS($W$9:W31)&lt;=84,StepUp7,0))))))))))</f>
        <v>0.02</v>
      </c>
      <c r="X31" s="101">
        <f ca="1">IF(V31="","",IF(AND(strikeType=DataValidation!$C$2,V31&gt;strike),('Cap Pricer'!V31-strike)*notional*((Volatilities_Resets!D26-Volatilities_Resets!C26)/360),IF(AND(strikeType=DataValidation!$C$3,V31&gt;W31),(V31-W31)*notional*((Volatilities_Resets!D26-Volatilities_Resets!C26)/360),0)))</f>
        <v>46684.493055555555</v>
      </c>
      <c r="Y31" s="101">
        <f ca="1">IF(P31="","",(IF(X31&gt;0, ((VLOOKUP('Cap Pricer'!$P31,Calculator!$C$15:$T$98,18))*X31), 0)))</f>
        <v>42425.339399915967</v>
      </c>
    </row>
    <row r="32" spans="1:28" ht="16.5" thickBot="1" x14ac:dyDescent="0.3">
      <c r="A32" s="90"/>
      <c r="B32" s="90"/>
      <c r="C32" s="105"/>
      <c r="D32" s="105"/>
      <c r="E32" s="194"/>
      <c r="G32" s="105"/>
      <c r="H32" s="105"/>
      <c r="I32" s="105"/>
      <c r="J32" s="105"/>
      <c r="K32" s="105"/>
      <c r="L32" s="105"/>
      <c r="M32" s="105"/>
      <c r="N32" s="105"/>
      <c r="P32" s="108">
        <f ca="1">IF($Q32="","",COUNT($Q$9:$Q32))</f>
        <v>24</v>
      </c>
      <c r="Q32" s="111">
        <f ca="1">IF($Q31="","",IF($Q31&lt;EDATE(DataValidation!$I$13,$E$19-1),EDATE($Q31,1),""))</f>
        <v>45891</v>
      </c>
      <c r="R32" s="98"/>
      <c r="S32" s="173">
        <f ca="1">IF(Q32="","",(VLOOKUP($Q32,Calculator!$D$15:$L$98,9)+SUM(DataValidation!$I$16:$I$17)/$E$19))</f>
        <v>49905.124499581027</v>
      </c>
      <c r="T32" s="113">
        <f t="shared" ca="1" si="0"/>
        <v>2.5019199655167263E-2</v>
      </c>
      <c r="U32" s="116"/>
      <c r="V32" s="113">
        <f ca="1">IF(P32="","",'Vols - Forward Curve'!P25)</f>
        <v>4.16833E-2</v>
      </c>
      <c r="W32" s="113">
        <f ca="1">IF(V32="","",IF(strikeType=DataValidation!$C$2,strike,IF(strikeType=DataValidation!$C$3,IF(ROWS($W$9:W32)&lt;=12,StepUp1,IF(ROWS($W$9:W32)&lt;=24,StepUp2,IF(ROWS($W$9:W32)&lt;=36,StepUp3,IF(ROWS($W$9:W32)&lt;=48,StepUp4,IF(ROWS($W$9:W32)&lt;=60,StepUp5,IF(ROWS($W$9:W32)&lt;=72,StepUp6,IF(ROWS($W$9:W32)&lt;=84,StepUp7,0))))))))))</f>
        <v>0.02</v>
      </c>
      <c r="X32" s="101">
        <f ca="1">IF(V32="","",IF(AND(strikeType=DataValidation!$C$2,V32&gt;strike),('Cap Pricer'!V32-strike)*notional*((Volatilities_Resets!D27-Volatilities_Resets!C27)/360),IF(AND(strikeType=DataValidation!$C$3,V32&gt;W32),(V32-W32)*notional*((Volatilities_Resets!D27-Volatilities_Resets!C27)/360),0)))</f>
        <v>46679.326388888891</v>
      </c>
      <c r="Y32" s="101">
        <f ca="1">IF(P32="","",(IF(X32&gt;0, ((VLOOKUP('Cap Pricer'!$P32,Calculator!$C$15:$T$98,18))*X32), 0)))</f>
        <v>42268.174549153657</v>
      </c>
    </row>
    <row r="33" spans="1:25" x14ac:dyDescent="0.25">
      <c r="A33" s="90"/>
      <c r="B33" s="90"/>
      <c r="C33" s="221" t="s">
        <v>107</v>
      </c>
      <c r="D33" s="221"/>
      <c r="E33" s="221"/>
      <c r="F33" s="221"/>
      <c r="G33" s="221"/>
      <c r="H33" s="221"/>
      <c r="I33" s="221"/>
      <c r="J33" s="221"/>
      <c r="K33" s="221"/>
      <c r="L33" s="221"/>
      <c r="M33" s="221"/>
      <c r="N33" s="221"/>
      <c r="P33" s="108">
        <f ca="1">IF($Q33="","",COUNT($Q$9:$Q33))</f>
        <v>25</v>
      </c>
      <c r="Q33" s="111">
        <f ca="1">IF($Q32="","",IF($Q32&lt;EDATE(DataValidation!$I$13,$E$19-1),EDATE($Q32,1),""))</f>
        <v>45922</v>
      </c>
      <c r="R33" s="98"/>
      <c r="S33" s="173">
        <f ca="1">IF(Q33="","",(VLOOKUP($Q33,Calculator!$D$15:$L$98,9)+SUM(DataValidation!$I$16:$I$17)/$E$19))</f>
        <v>42662.926142730255</v>
      </c>
      <c r="T33" s="113">
        <f t="shared" ca="1" si="0"/>
        <v>2.1388430100952545E-2</v>
      </c>
      <c r="U33" s="116"/>
      <c r="V33" s="113">
        <f ca="1">IF(P33="","",'Vols - Forward Curve'!P26)</f>
        <v>3.9167199999999999E-2</v>
      </c>
      <c r="W33" s="113">
        <f ca="1">IF(V33="","",IF(strikeType=DataValidation!$C$2,strike,IF(strikeType=DataValidation!$C$3,IF(ROWS($W$9:W33)&lt;=12,StepUp1,IF(ROWS($W$9:W33)&lt;=24,StepUp2,IF(ROWS($W$9:W33)&lt;=36,StepUp3,IF(ROWS($W$9:W33)&lt;=48,StepUp4,IF(ROWS($W$9:W33)&lt;=60,StepUp5,IF(ROWS($W$9:W33)&lt;=72,StepUp6,IF(ROWS($W$9:W33)&lt;=84,StepUp7,0))))))))))</f>
        <v>0.02</v>
      </c>
      <c r="X33" s="101">
        <f ca="1">IF(V33="","",IF(AND(strikeType=DataValidation!$C$2,V33&gt;strike),('Cap Pricer'!V33-strike)*notional*((Volatilities_Resets!D28-Volatilities_Resets!C28)/360),IF(AND(strikeType=DataValidation!$C$3,V33&gt;W33),(V33-W33)*notional*((Volatilities_Resets!D28-Volatilities_Resets!C28)/360),0)))</f>
        <v>39931.666666666657</v>
      </c>
      <c r="Y33" s="101">
        <f ca="1">IF(P33="","",(IF(X33&gt;0, ((VLOOKUP('Cap Pricer'!$P33,Calculator!$C$15:$T$98,18))*X33), 0)))</f>
        <v>36040.764933393984</v>
      </c>
    </row>
    <row r="34" spans="1:25" x14ac:dyDescent="0.25">
      <c r="C34" s="221"/>
      <c r="D34" s="221"/>
      <c r="E34" s="221"/>
      <c r="F34" s="221"/>
      <c r="G34" s="221"/>
      <c r="H34" s="221"/>
      <c r="I34" s="221"/>
      <c r="J34" s="221"/>
      <c r="K34" s="221"/>
      <c r="L34" s="221"/>
      <c r="M34" s="221"/>
      <c r="N34" s="221"/>
      <c r="P34" s="108">
        <f ca="1">IF($Q34="","",COUNT($Q$9:$Q34))</f>
        <v>26</v>
      </c>
      <c r="Q34" s="111">
        <f ca="1">IF($Q33="","",IF($Q33&lt;EDATE(DataValidation!$I$13,$E$19-1),EDATE($Q33,1),""))</f>
        <v>45952</v>
      </c>
      <c r="R34" s="98"/>
      <c r="S34" s="173">
        <f ca="1">IF(Q34="","",(VLOOKUP($Q34,Calculator!$D$15:$L$98,9)+SUM(DataValidation!$I$16:$I$17)/$E$19))</f>
        <v>43273.075859859782</v>
      </c>
      <c r="T34" s="113">
        <f t="shared" ca="1" si="0"/>
        <v>2.1694319681340942E-2</v>
      </c>
      <c r="U34" s="116"/>
      <c r="V34" s="113">
        <f ca="1">IF(P34="","",'Vols - Forward Curve'!P27)</f>
        <v>3.8540899999999996E-2</v>
      </c>
      <c r="W34" s="113">
        <f ca="1">IF(V34="","",IF(strikeType=DataValidation!$C$2,strike,IF(strikeType=DataValidation!$C$3,IF(ROWS($W$9:W34)&lt;=12,StepUp1,IF(ROWS($W$9:W34)&lt;=24,StepUp2,IF(ROWS($W$9:W34)&lt;=36,StepUp3,IF(ROWS($W$9:W34)&lt;=48,StepUp4,IF(ROWS($W$9:W34)&lt;=60,StepUp5,IF(ROWS($W$9:W34)&lt;=72,StepUp6,IF(ROWS($W$9:W34)&lt;=84,StepUp7,0))))))))))</f>
        <v>0.02</v>
      </c>
      <c r="X34" s="101">
        <f ca="1">IF(V34="","",IF(AND(strikeType=DataValidation!$C$2,V34&gt;strike),('Cap Pricer'!V34-strike)*notional*((Volatilities_Resets!D29-Volatilities_Resets!C29)/360),IF(AND(strikeType=DataValidation!$C$3,V34&gt;W34),(V34-W34)*notional*((Volatilities_Resets!D29-Volatilities_Resets!C29)/360),0)))</f>
        <v>39914.437499999993</v>
      </c>
      <c r="Y34" s="101">
        <f ca="1">IF(P34="","",(IF(X34&gt;0, ((VLOOKUP('Cap Pricer'!$P34,Calculator!$C$15:$T$98,18))*X34), 0)))</f>
        <v>35905.317531045803</v>
      </c>
    </row>
    <row r="35" spans="1:25" x14ac:dyDescent="0.25">
      <c r="C35" s="221"/>
      <c r="D35" s="221"/>
      <c r="E35" s="221"/>
      <c r="F35" s="221"/>
      <c r="G35" s="221"/>
      <c r="H35" s="221"/>
      <c r="I35" s="221"/>
      <c r="J35" s="221"/>
      <c r="K35" s="221"/>
      <c r="L35" s="221"/>
      <c r="M35" s="221"/>
      <c r="N35" s="221"/>
      <c r="P35" s="108">
        <f ca="1">IF($Q35="","",COUNT($Q$9:$Q35))</f>
        <v>27</v>
      </c>
      <c r="Q35" s="111">
        <f ca="1">IF($Q34="","",IF($Q34&lt;EDATE(DataValidation!$I$13,$E$19-1),EDATE($Q34,1),""))</f>
        <v>45983</v>
      </c>
      <c r="R35" s="98"/>
      <c r="S35" s="173">
        <f ca="1">IF(Q35="","",(VLOOKUP($Q35,Calculator!$D$15:$L$98,9)+SUM(DataValidation!$I$16:$I$17)/$E$19))</f>
        <v>42039.127334274359</v>
      </c>
      <c r="T35" s="113">
        <f t="shared" ca="1" si="0"/>
        <v>2.1075697749517484E-2</v>
      </c>
      <c r="U35" s="116"/>
      <c r="V35" s="113">
        <f ca="1">IF(P35="","",'Vols - Forward Curve'!P28)</f>
        <v>3.8538800000000005E-2</v>
      </c>
      <c r="W35" s="113">
        <f ca="1">IF(V35="","",IF(strikeType=DataValidation!$C$2,strike,IF(strikeType=DataValidation!$C$3,IF(ROWS($W$9:W35)&lt;=12,StepUp1,IF(ROWS($W$9:W35)&lt;=24,StepUp2,IF(ROWS($W$9:W35)&lt;=36,StepUp3,IF(ROWS($W$9:W35)&lt;=48,StepUp4,IF(ROWS($W$9:W35)&lt;=60,StepUp5,IF(ROWS($W$9:W35)&lt;=72,StepUp6,IF(ROWS($W$9:W35)&lt;=84,StepUp7,0))))))))))</f>
        <v>0.02</v>
      </c>
      <c r="X35" s="101">
        <f ca="1">IF(V35="","",IF(AND(strikeType=DataValidation!$C$2,V35&gt;strike),('Cap Pricer'!V35-strike)*notional*((Volatilities_Resets!D30-Volatilities_Resets!C30)/360),IF(AND(strikeType=DataValidation!$C$3,V35&gt;W35),(V35-W35)*notional*((Volatilities_Resets!D30-Volatilities_Resets!C30)/360),0)))</f>
        <v>38622.500000000007</v>
      </c>
      <c r="Y35" s="101">
        <f ca="1">IF(P35="","",(IF(X35&gt;0, ((VLOOKUP('Cap Pricer'!$P35,Calculator!$C$15:$T$98,18))*X35), 0)))</f>
        <v>34632.154400581196</v>
      </c>
    </row>
    <row r="36" spans="1:25" x14ac:dyDescent="0.25">
      <c r="C36" s="90"/>
      <c r="D36" s="90"/>
      <c r="E36" s="90"/>
      <c r="P36" s="108">
        <f ca="1">IF($Q36="","",COUNT($Q$9:$Q36))</f>
        <v>28</v>
      </c>
      <c r="Q36" s="111">
        <f ca="1">IF($Q35="","",IF($Q35&lt;EDATE(DataValidation!$I$13,$E$19-1),EDATE($Q35,1),""))</f>
        <v>46013</v>
      </c>
      <c r="R36" s="98"/>
      <c r="S36" s="173">
        <f ca="1">IF(Q36="","",(VLOOKUP($Q36,Calculator!$D$15:$L$98,9)+SUM(DataValidation!$I$16:$I$17)/$E$19))</f>
        <v>43573.406562742632</v>
      </c>
      <c r="T36" s="113">
        <f t="shared" ca="1" si="0"/>
        <v>2.1844886058909357E-2</v>
      </c>
      <c r="U36" s="116"/>
      <c r="V36" s="113">
        <f ca="1">IF(P36="","",'Vols - Forward Curve'!P29)</f>
        <v>3.8544999999999996E-2</v>
      </c>
      <c r="W36" s="113">
        <f ca="1">IF(V36="","",IF(strikeType=DataValidation!$C$2,strike,IF(strikeType=DataValidation!$C$3,IF(ROWS($W$9:W36)&lt;=12,StepUp1,IF(ROWS($W$9:W36)&lt;=24,StepUp2,IF(ROWS($W$9:W36)&lt;=36,StepUp3,IF(ROWS($W$9:W36)&lt;=48,StepUp4,IF(ROWS($W$9:W36)&lt;=60,StepUp5,IF(ROWS($W$9:W36)&lt;=72,StepUp6,IF(ROWS($W$9:W36)&lt;=84,StepUp7,0))))))))))</f>
        <v>0.02</v>
      </c>
      <c r="X36" s="101">
        <f ca="1">IF(V36="","",IF(AND(strikeType=DataValidation!$C$2,V36&gt;strike),('Cap Pricer'!V36-strike)*notional*((Volatilities_Resets!D31-Volatilities_Resets!C31)/360),IF(AND(strikeType=DataValidation!$C$3,V36&gt;W36),(V36-W36)*notional*((Volatilities_Resets!D31-Volatilities_Resets!C31)/360),0)))</f>
        <v>39923.263888888876</v>
      </c>
      <c r="Y36" s="101">
        <f ca="1">IF(P36="","",(IF(X36&gt;0, ((VLOOKUP('Cap Pricer'!$P36,Calculator!$C$15:$T$98,18))*X36), 0)))</f>
        <v>35679.414692877981</v>
      </c>
    </row>
    <row r="37" spans="1:25" x14ac:dyDescent="0.25">
      <c r="P37" s="108">
        <f ca="1">IF($Q37="","",COUNT($Q$9:$Q37))</f>
        <v>29</v>
      </c>
      <c r="Q37" s="111">
        <f ca="1">IF($Q36="","",IF($Q36&lt;EDATE(DataValidation!$I$13,$E$19-1),EDATE($Q36,1),""))</f>
        <v>46044</v>
      </c>
      <c r="R37" s="98"/>
      <c r="S37" s="173">
        <f ca="1">IF(Q37="","",(VLOOKUP($Q37,Calculator!$D$15:$L$98,9)+SUM(DataValidation!$I$16:$I$17)/$E$19))</f>
        <v>43709.544571754697</v>
      </c>
      <c r="T37" s="113">
        <f t="shared" ca="1" si="0"/>
        <v>2.1913136846023584E-2</v>
      </c>
      <c r="U37" s="116"/>
      <c r="V37" s="113">
        <f ca="1">IF(P37="","",'Vols - Forward Curve'!P30)</f>
        <v>3.8540899999999996E-2</v>
      </c>
      <c r="W37" s="113">
        <f ca="1">IF(V37="","",IF(strikeType=DataValidation!$C$2,strike,IF(strikeType=DataValidation!$C$3,IF(ROWS($W$9:W37)&lt;=12,StepUp1,IF(ROWS($W$9:W37)&lt;=24,StepUp2,IF(ROWS($W$9:W37)&lt;=36,StepUp3,IF(ROWS($W$9:W37)&lt;=48,StepUp4,IF(ROWS($W$9:W37)&lt;=60,StepUp5,IF(ROWS($W$9:W37)&lt;=72,StepUp6,IF(ROWS($W$9:W37)&lt;=84,StepUp7,0))))))))))</f>
        <v>0.02</v>
      </c>
      <c r="X37" s="101">
        <f ca="1">IF(V37="","",IF(AND(strikeType=DataValidation!$C$2,V37&gt;strike),('Cap Pricer'!V37-strike)*notional*((Volatilities_Resets!D32-Volatilities_Resets!C32)/360),IF(AND(strikeType=DataValidation!$C$3,V37&gt;W37),(V37-W37)*notional*((Volatilities_Resets!D32-Volatilities_Resets!C32)/360),0)))</f>
        <v>39914.437499999993</v>
      </c>
      <c r="Y37" s="101">
        <f ca="1">IF(P37="","",(IF(X37&gt;0, ((VLOOKUP('Cap Pricer'!$P37,Calculator!$C$15:$T$98,18))*X37), 0)))</f>
        <v>35552.882003174062</v>
      </c>
    </row>
    <row r="38" spans="1:25" x14ac:dyDescent="0.25">
      <c r="P38" s="108">
        <f ca="1">IF($Q38="","",COUNT($Q$9:$Q38))</f>
        <v>30</v>
      </c>
      <c r="Q38" s="111">
        <f ca="1">IF($Q37="","",IF($Q37&lt;EDATE(DataValidation!$I$13,$E$19-1),EDATE($Q37,1),""))</f>
        <v>46075</v>
      </c>
      <c r="R38" s="98"/>
      <c r="S38" s="173">
        <f ca="1">IF(Q38="","",(VLOOKUP($Q38,Calculator!$D$15:$L$98,9)+SUM(DataValidation!$I$16:$I$17)/$E$19))</f>
        <v>39655.149975892702</v>
      </c>
      <c r="T38" s="113">
        <f t="shared" ca="1" si="0"/>
        <v>1.9880525788705129E-2</v>
      </c>
      <c r="U38" s="116"/>
      <c r="V38" s="113">
        <f ca="1">IF(P38="","",'Vols - Forward Curve'!P31)</f>
        <v>3.8534700000000005E-2</v>
      </c>
      <c r="W38" s="113">
        <f ca="1">IF(V38="","",IF(strikeType=DataValidation!$C$2,strike,IF(strikeType=DataValidation!$C$3,IF(ROWS($W$9:W38)&lt;=12,StepUp1,IF(ROWS($W$9:W38)&lt;=24,StepUp2,IF(ROWS($W$9:W38)&lt;=36,StepUp3,IF(ROWS($W$9:W38)&lt;=48,StepUp4,IF(ROWS($W$9:W38)&lt;=60,StepUp5,IF(ROWS($W$9:W38)&lt;=72,StepUp6,IF(ROWS($W$9:W38)&lt;=84,StepUp7,0))))))))))</f>
        <v>0.02</v>
      </c>
      <c r="X38" s="101">
        <f ca="1">IF(V38="","",IF(AND(strikeType=DataValidation!$C$2,V38&gt;strike),('Cap Pricer'!V38-strike)*notional*((Volatilities_Resets!D33-Volatilities_Resets!C33)/360),IF(AND(strikeType=DataValidation!$C$3,V38&gt;W38),(V38-W38)*notional*((Volatilities_Resets!D33-Volatilities_Resets!C33)/360),0)))</f>
        <v>36039.694444444453</v>
      </c>
      <c r="Y38" s="101">
        <f ca="1">IF(P38="","",(IF(X38&gt;0, ((VLOOKUP('Cap Pricer'!$P38,Calculator!$C$15:$T$98,18))*X38), 0)))</f>
        <v>32007.306281193709</v>
      </c>
    </row>
    <row r="39" spans="1:25" x14ac:dyDescent="0.25">
      <c r="P39" s="108">
        <f ca="1">IF($Q39="","",COUNT($Q$9:$Q39))</f>
        <v>31</v>
      </c>
      <c r="Q39" s="111">
        <f ca="1">IF($Q38="","",IF($Q38&lt;EDATE(DataValidation!$I$13,$E$19-1),EDATE($Q38,1),""))</f>
        <v>46103</v>
      </c>
      <c r="R39" s="98"/>
      <c r="S39" s="173">
        <f ca="1">IF(Q39="","",(VLOOKUP($Q39,Calculator!$D$15:$L$98,9)+SUM(DataValidation!$I$16:$I$17)/$E$19))</f>
        <v>43978.816089934255</v>
      </c>
      <c r="T39" s="113">
        <f t="shared" ca="1" si="0"/>
        <v>2.2048132158475731E-2</v>
      </c>
      <c r="U39" s="116"/>
      <c r="V39" s="113">
        <f ca="1">IF(P39="","",'Vols - Forward Curve'!P32)</f>
        <v>3.8544999999999996E-2</v>
      </c>
      <c r="W39" s="113">
        <f ca="1">IF(V39="","",IF(strikeType=DataValidation!$C$2,strike,IF(strikeType=DataValidation!$C$3,IF(ROWS($W$9:W39)&lt;=12,StepUp1,IF(ROWS($W$9:W39)&lt;=24,StepUp2,IF(ROWS($W$9:W39)&lt;=36,StepUp3,IF(ROWS($W$9:W39)&lt;=48,StepUp4,IF(ROWS($W$9:W39)&lt;=60,StepUp5,IF(ROWS($W$9:W39)&lt;=72,StepUp6,IF(ROWS($W$9:W39)&lt;=84,StepUp7,0))))))))))</f>
        <v>0.02</v>
      </c>
      <c r="X39" s="101">
        <f ca="1">IF(V39="","",IF(AND(strikeType=DataValidation!$C$2,V39&gt;strike),('Cap Pricer'!V39-strike)*notional*((Volatilities_Resets!D34-Volatilities_Resets!C34)/360),IF(AND(strikeType=DataValidation!$C$3,V39&gt;W39),(V39-W39)*notional*((Volatilities_Resets!D34-Volatilities_Resets!C34)/360),0)))</f>
        <v>39923.263888888876</v>
      </c>
      <c r="Y39" s="101">
        <f ca="1">IF(P39="","",(IF(X39&gt;0, ((VLOOKUP('Cap Pricer'!$P39,Calculator!$C$15:$T$98,18))*X39), 0)))</f>
        <v>35338.390533343125</v>
      </c>
    </row>
    <row r="40" spans="1:25" x14ac:dyDescent="0.25">
      <c r="P40" s="108">
        <f ca="1">IF($Q40="","",COUNT($Q$9:$Q40))</f>
        <v>32</v>
      </c>
      <c r="Q40" s="111">
        <f ca="1">IF($Q39="","",IF($Q39&lt;EDATE(DataValidation!$I$13,$E$19-1),EDATE($Q39,1),""))</f>
        <v>46134</v>
      </c>
      <c r="R40" s="98"/>
      <c r="S40" s="173">
        <f ca="1">IF(Q40="","",(VLOOKUP($Q40,Calculator!$D$15:$L$98,9)+SUM(DataValidation!$I$16:$I$17)/$E$19))</f>
        <v>42703.961868902472</v>
      </c>
      <c r="T40" s="113">
        <f t="shared" ca="1" si="0"/>
        <v>2.1409002758297706E-2</v>
      </c>
      <c r="U40" s="116"/>
      <c r="V40" s="113">
        <f ca="1">IF(P40="","",'Vols - Forward Curve'!P33)</f>
        <v>3.8542900000000005E-2</v>
      </c>
      <c r="W40" s="113">
        <f ca="1">IF(V40="","",IF(strikeType=DataValidation!$C$2,strike,IF(strikeType=DataValidation!$C$3,IF(ROWS($W$9:W40)&lt;=12,StepUp1,IF(ROWS($W$9:W40)&lt;=24,StepUp2,IF(ROWS($W$9:W40)&lt;=36,StepUp3,IF(ROWS($W$9:W40)&lt;=48,StepUp4,IF(ROWS($W$9:W40)&lt;=60,StepUp5,IF(ROWS($W$9:W40)&lt;=72,StepUp6,IF(ROWS($W$9:W40)&lt;=84,StepUp7,0))))))))))</f>
        <v>0.02</v>
      </c>
      <c r="X40" s="101">
        <f ca="1">IF(V40="","",IF(AND(strikeType=DataValidation!$C$2,V40&gt;strike),('Cap Pricer'!V40-strike)*notional*((Volatilities_Resets!D35-Volatilities_Resets!C35)/360),IF(AND(strikeType=DataValidation!$C$3,V40&gt;W40),(V40-W40)*notional*((Volatilities_Resets!D35-Volatilities_Resets!C35)/360),0)))</f>
        <v>38631.041666666672</v>
      </c>
      <c r="Y40" s="101">
        <f ca="1">IF(P40="","",(IF(X40&gt;0, ((VLOOKUP('Cap Pricer'!$P40,Calculator!$C$15:$T$98,18))*X40), 0)))</f>
        <v>34085.225035647309</v>
      </c>
    </row>
    <row r="41" spans="1:25" x14ac:dyDescent="0.25">
      <c r="P41" s="108">
        <f ca="1">IF($Q41="","",COUNT($Q$9:$Q41))</f>
        <v>33</v>
      </c>
      <c r="Q41" s="111">
        <f ca="1">IF($Q40="","",IF($Q40&lt;EDATE(DataValidation!$I$13,$E$19-1),EDATE($Q40,1),""))</f>
        <v>46164</v>
      </c>
      <c r="R41" s="98"/>
      <c r="S41" s="173">
        <f ca="1">IF(Q41="","",(VLOOKUP($Q41,Calculator!$D$15:$L$98,9)+SUM(DataValidation!$I$16:$I$17)/$E$19))</f>
        <v>44234.254149639644</v>
      </c>
      <c r="T41" s="113">
        <f t="shared" ref="T41:T72" ca="1" si="1">IF(Q41="","",$S41/SUM($S$9:$S$92))</f>
        <v>2.2176192270125215E-2</v>
      </c>
      <c r="U41" s="116"/>
      <c r="V41" s="113">
        <f ca="1">IF(P41="","",'Vols - Forward Curve'!P34)</f>
        <v>3.8544999999999996E-2</v>
      </c>
      <c r="W41" s="113">
        <f ca="1">IF(V41="","",IF(strikeType=DataValidation!$C$2,strike,IF(strikeType=DataValidation!$C$3,IF(ROWS($W$9:W41)&lt;=12,StepUp1,IF(ROWS($W$9:W41)&lt;=24,StepUp2,IF(ROWS($W$9:W41)&lt;=36,StepUp3,IF(ROWS($W$9:W41)&lt;=48,StepUp4,IF(ROWS($W$9:W41)&lt;=60,StepUp5,IF(ROWS($W$9:W41)&lt;=72,StepUp6,IF(ROWS($W$9:W41)&lt;=84,StepUp7,0))))))))))</f>
        <v>0.02</v>
      </c>
      <c r="X41" s="101">
        <f ca="1">IF(V41="","",IF(AND(strikeType=DataValidation!$C$2,V41&gt;strike),('Cap Pricer'!V41-strike)*notional*((Volatilities_Resets!D36-Volatilities_Resets!C36)/360),IF(AND(strikeType=DataValidation!$C$3,V41&gt;W41),(V41-W41)*notional*((Volatilities_Resets!D36-Volatilities_Resets!C36)/360),0)))</f>
        <v>39923.263888888876</v>
      </c>
      <c r="Y41" s="101">
        <f ca="1">IF(P41="","",(IF(X41&gt;0, ((VLOOKUP('Cap Pricer'!$P41,Calculator!$C$15:$T$98,18))*X41), 0)))</f>
        <v>35108.226880227441</v>
      </c>
    </row>
    <row r="42" spans="1:25" x14ac:dyDescent="0.25">
      <c r="P42" s="108">
        <f ca="1">IF($Q42="","",COUNT($Q$9:$Q42))</f>
        <v>34</v>
      </c>
      <c r="Q42" s="111">
        <f ca="1">IF($Q41="","",IF($Q41&lt;EDATE(DataValidation!$I$13,$E$19-1),EDATE($Q41,1),""))</f>
        <v>46195</v>
      </c>
      <c r="R42" s="98"/>
      <c r="S42" s="173">
        <f ca="1">IF(Q42="","",(VLOOKUP($Q42,Calculator!$D$15:$L$98,9)+SUM(DataValidation!$I$16:$I$17)/$E$19))</f>
        <v>42927.710459693</v>
      </c>
      <c r="T42" s="113">
        <f t="shared" ca="1" si="1"/>
        <v>2.152117582111809E-2</v>
      </c>
      <c r="U42" s="116"/>
      <c r="V42" s="113">
        <f ca="1">IF(P42="","",'Vols - Forward Curve'!P35)</f>
        <v>3.8538800000000005E-2</v>
      </c>
      <c r="W42" s="113">
        <f ca="1">IF(V42="","",IF(strikeType=DataValidation!$C$2,strike,IF(strikeType=DataValidation!$C$3,IF(ROWS($W$9:W42)&lt;=12,StepUp1,IF(ROWS($W$9:W42)&lt;=24,StepUp2,IF(ROWS($W$9:W42)&lt;=36,StepUp3,IF(ROWS($W$9:W42)&lt;=48,StepUp4,IF(ROWS($W$9:W42)&lt;=60,StepUp5,IF(ROWS($W$9:W42)&lt;=72,StepUp6,IF(ROWS($W$9:W42)&lt;=84,StepUp7,0))))))))))</f>
        <v>0.02</v>
      </c>
      <c r="X42" s="101">
        <f ca="1">IF(V42="","",IF(AND(strikeType=DataValidation!$C$2,V42&gt;strike),('Cap Pricer'!V42-strike)*notional*((Volatilities_Resets!D37-Volatilities_Resets!C37)/360),IF(AND(strikeType=DataValidation!$C$3,V42&gt;W42),(V42-W42)*notional*((Volatilities_Resets!D37-Volatilities_Resets!C37)/360),0)))</f>
        <v>38622.500000000007</v>
      </c>
      <c r="Y42" s="101">
        <f ca="1">IF(P42="","",(IF(X42&gt;0, ((VLOOKUP('Cap Pricer'!$P42,Calculator!$C$15:$T$98,18))*X42), 0)))</f>
        <v>33855.733008573989</v>
      </c>
    </row>
    <row r="43" spans="1:25" x14ac:dyDescent="0.25">
      <c r="P43" s="108">
        <f ca="1">IF($Q43="","",COUNT($Q$9:$Q43))</f>
        <v>35</v>
      </c>
      <c r="Q43" s="111">
        <f ca="1">IF($Q42="","",IF($Q42&lt;EDATE(DataValidation!$I$13,$E$19-1),EDATE($Q42,1),""))</f>
        <v>46225</v>
      </c>
      <c r="R43" s="98"/>
      <c r="S43" s="173">
        <f ca="1">IF(Q43="","",(VLOOKUP($Q43,Calculator!$D$15:$L$98,9)+SUM(DataValidation!$I$16:$I$17)/$E$19))</f>
        <v>44141.679628762206</v>
      </c>
      <c r="T43" s="113">
        <f t="shared" ca="1" si="1"/>
        <v>2.2129781396611942E-2</v>
      </c>
      <c r="U43" s="116"/>
      <c r="V43" s="113">
        <f ca="1">IF(P43="","",'Vols - Forward Curve'!P36)</f>
        <v>3.8540899999999996E-2</v>
      </c>
      <c r="W43" s="113">
        <f ca="1">IF(V43="","",IF(strikeType=DataValidation!$C$2,strike,IF(strikeType=DataValidation!$C$3,IF(ROWS($W$9:W43)&lt;=12,StepUp1,IF(ROWS($W$9:W43)&lt;=24,StepUp2,IF(ROWS($W$9:W43)&lt;=36,StepUp3,IF(ROWS($W$9:W43)&lt;=48,StepUp4,IF(ROWS($W$9:W43)&lt;=60,StepUp5,IF(ROWS($W$9:W43)&lt;=72,StepUp6,IF(ROWS($W$9:W43)&lt;=84,StepUp7,0))))))))))</f>
        <v>0.02</v>
      </c>
      <c r="X43" s="101">
        <f ca="1">IF(V43="","",IF(AND(strikeType=DataValidation!$C$2,V43&gt;strike),('Cap Pricer'!V43-strike)*notional*((Volatilities_Resets!D38-Volatilities_Resets!C38)/360),IF(AND(strikeType=DataValidation!$C$3,V43&gt;W43),(V43-W43)*notional*((Volatilities_Resets!D38-Volatilities_Resets!C38)/360),0)))</f>
        <v>39914.437499999993</v>
      </c>
      <c r="Y43" s="101">
        <f ca="1">IF(P43="","",(IF(X43&gt;0, ((VLOOKUP('Cap Pricer'!$P43,Calculator!$C$15:$T$98,18))*X43), 0)))</f>
        <v>34871.888638827688</v>
      </c>
    </row>
    <row r="44" spans="1:25" x14ac:dyDescent="0.25">
      <c r="P44" s="108">
        <f ca="1">IF($Q44="","",COUNT($Q$9:$Q44))</f>
        <v>36</v>
      </c>
      <c r="Q44" s="111">
        <f ca="1">IF($Q43="","",IF($Q43&lt;EDATE(DataValidation!$I$13,$E$19-1),EDATE($Q43,1),""))</f>
        <v>46256</v>
      </c>
      <c r="R44" s="98"/>
      <c r="S44" s="173">
        <f ca="1">IF(Q44="","",(VLOOKUP($Q44,Calculator!$D$15:$L$98,9)+SUM(DataValidation!$I$16:$I$17)/$E$19))</f>
        <v>43894.147887122752</v>
      </c>
      <c r="T44" s="113">
        <f t="shared" ca="1" si="1"/>
        <v>2.2005685001158192E-2</v>
      </c>
      <c r="U44" s="116"/>
      <c r="V44" s="113">
        <f ca="1">IF(P44="","",'Vols - Forward Curve'!P37)</f>
        <v>3.8544999999999996E-2</v>
      </c>
      <c r="W44" s="113">
        <f ca="1">IF(V44="","",IF(strikeType=DataValidation!$C$2,strike,IF(strikeType=DataValidation!$C$3,IF(ROWS($W$9:W44)&lt;=12,StepUp1,IF(ROWS($W$9:W44)&lt;=24,StepUp2,IF(ROWS($W$9:W44)&lt;=36,StepUp3,IF(ROWS($W$9:W44)&lt;=48,StepUp4,IF(ROWS($W$9:W44)&lt;=60,StepUp5,IF(ROWS($W$9:W44)&lt;=72,StepUp6,IF(ROWS($W$9:W44)&lt;=84,StepUp7,0))))))))))</f>
        <v>0.02</v>
      </c>
      <c r="X44" s="101">
        <f ca="1">IF(V44="","",IF(AND(strikeType=DataValidation!$C$2,V44&gt;strike),('Cap Pricer'!V44-strike)*notional*((Volatilities_Resets!D39-Volatilities_Resets!C39)/360),IF(AND(strikeType=DataValidation!$C$3,V44&gt;W44),(V44-W44)*notional*((Volatilities_Resets!D39-Volatilities_Resets!C39)/360),0)))</f>
        <v>39923.263888888876</v>
      </c>
      <c r="Y44" s="101">
        <f ca="1">IF(P44="","",(IF(X44&gt;0, ((VLOOKUP('Cap Pricer'!$P44,Calculator!$C$15:$T$98,18))*X44), 0)))</f>
        <v>34763.639817569223</v>
      </c>
    </row>
    <row r="45" spans="1:25" x14ac:dyDescent="0.25">
      <c r="P45" s="108" t="str">
        <f ca="1">IF($Q45="","",COUNT($Q$9:$Q45))</f>
        <v/>
      </c>
      <c r="Q45" s="111" t="str">
        <f ca="1">IF($Q44="","",IF($Q44&lt;EDATE(DataValidation!$I$13,$E$19-1),EDATE($Q44,1),""))</f>
        <v/>
      </c>
      <c r="R45" s="98"/>
      <c r="S45" s="173" t="str">
        <f ca="1">IF(Q45="","",(VLOOKUP($Q45,Calculator!$D$15:$L$98,9)+SUM(DataValidation!$I$16:$I$17)/$E$19))</f>
        <v/>
      </c>
      <c r="T45" s="113" t="str">
        <f t="shared" ca="1" si="1"/>
        <v/>
      </c>
      <c r="U45" s="116"/>
      <c r="V45" s="113" t="str">
        <f ca="1">IF(P45="","",'Vols - Forward Curve'!P38)</f>
        <v/>
      </c>
      <c r="W45" s="113" t="str">
        <f ca="1">IF(V45="","",IF(strikeType=DataValidation!$C$2,strike,IF(strikeType=DataValidation!$C$3,IF(ROWS($W$9:W45)&lt;=12,StepUp1,IF(ROWS($W$9:W45)&lt;=24,StepUp2,IF(ROWS($W$9:W45)&lt;=36,StepUp3,IF(ROWS($W$9:W45)&lt;=48,StepUp4,IF(ROWS($W$9:W45)&lt;=60,StepUp5,IF(ROWS($W$9:W45)&lt;=72,StepUp6,IF(ROWS($W$9:W45)&lt;=84,StepUp7,0))))))))))</f>
        <v/>
      </c>
      <c r="X45" s="101" t="str">
        <f ca="1">IF(V45="","",IF(AND(strikeType=DataValidation!$C$2,V45&gt;strike),('Cap Pricer'!V45-strike)*notional*((Volatilities_Resets!D40-Volatilities_Resets!C40)/360),IF(AND(strikeType=DataValidation!$C$3,V45&gt;W45),(V45-W45)*notional*((Volatilities_Resets!D40-Volatilities_Resets!C40)/360),0)))</f>
        <v/>
      </c>
      <c r="Y45" s="101" t="str">
        <f ca="1">IF(P45="","",(IF(X45&gt;0, ((VLOOKUP('Cap Pricer'!$P45,Calculator!$C$15:$T$98,18))*X45), 0)))</f>
        <v/>
      </c>
    </row>
    <row r="46" spans="1:25" x14ac:dyDescent="0.25">
      <c r="P46" s="108" t="str">
        <f ca="1">IF($Q46="","",COUNT($Q$9:$Q46))</f>
        <v/>
      </c>
      <c r="Q46" s="111" t="str">
        <f ca="1">IF($Q45="","",IF($Q45&lt;EDATE(DataValidation!$I$13,$E$19-1),EDATE($Q45,1),""))</f>
        <v/>
      </c>
      <c r="R46" s="98"/>
      <c r="S46" s="173" t="str">
        <f ca="1">IF(Q46="","",(VLOOKUP($Q46,Calculator!$D$15:$L$98,9)+SUM(DataValidation!$I$16:$I$17)/$E$19))</f>
        <v/>
      </c>
      <c r="T46" s="113" t="str">
        <f t="shared" ca="1" si="1"/>
        <v/>
      </c>
      <c r="U46" s="116"/>
      <c r="V46" s="113" t="str">
        <f ca="1">IF(P46="","",'Vols - Forward Curve'!P39)</f>
        <v/>
      </c>
      <c r="W46" s="113" t="str">
        <f ca="1">IF(V46="","",IF(strikeType=DataValidation!$C$2,strike,IF(strikeType=DataValidation!$C$3,IF(ROWS($W$9:W46)&lt;=12,StepUp1,IF(ROWS($W$9:W46)&lt;=24,StepUp2,IF(ROWS($W$9:W46)&lt;=36,StepUp3,IF(ROWS($W$9:W46)&lt;=48,StepUp4,IF(ROWS($W$9:W46)&lt;=60,StepUp5,IF(ROWS($W$9:W46)&lt;=72,StepUp6,IF(ROWS($W$9:W46)&lt;=84,StepUp7,0))))))))))</f>
        <v/>
      </c>
      <c r="X46" s="101" t="str">
        <f ca="1">IF(V46="","",IF(AND(strikeType=DataValidation!$C$2,V46&gt;strike),('Cap Pricer'!V46-strike)*notional*((Volatilities_Resets!D41-Volatilities_Resets!C41)/360),IF(AND(strikeType=DataValidation!$C$3,V46&gt;W46),(V46-W46)*notional*((Volatilities_Resets!D41-Volatilities_Resets!C41)/360),0)))</f>
        <v/>
      </c>
      <c r="Y46" s="101" t="str">
        <f ca="1">IF(P46="","",(IF(X46&gt;0, ((VLOOKUP('Cap Pricer'!$P46,Calculator!$C$15:$T$98,18))*X46), 0)))</f>
        <v/>
      </c>
    </row>
    <row r="47" spans="1:25" x14ac:dyDescent="0.25">
      <c r="P47" s="108" t="str">
        <f ca="1">IF($Q47="","",COUNT($Q$9:$Q47))</f>
        <v/>
      </c>
      <c r="Q47" s="111" t="str">
        <f ca="1">IF($Q46="","",IF($Q46&lt;EDATE(DataValidation!$I$13,$E$19-1),EDATE($Q46,1),""))</f>
        <v/>
      </c>
      <c r="R47" s="98"/>
      <c r="S47" s="173" t="str">
        <f ca="1">IF(Q47="","",(VLOOKUP($Q47,Calculator!$D$15:$L$98,9)+SUM(DataValidation!$I$16:$I$17)/$E$19))</f>
        <v/>
      </c>
      <c r="T47" s="113" t="str">
        <f t="shared" ca="1" si="1"/>
        <v/>
      </c>
      <c r="U47" s="116"/>
      <c r="V47" s="113" t="str">
        <f ca="1">IF(P47="","",'Vols - Forward Curve'!P40)</f>
        <v/>
      </c>
      <c r="W47" s="113" t="str">
        <f ca="1">IF(V47="","",IF(strikeType=DataValidation!$C$2,strike,IF(strikeType=DataValidation!$C$3,IF(ROWS($W$9:W47)&lt;=12,StepUp1,IF(ROWS($W$9:W47)&lt;=24,StepUp2,IF(ROWS($W$9:W47)&lt;=36,StepUp3,IF(ROWS($W$9:W47)&lt;=48,StepUp4,IF(ROWS($W$9:W47)&lt;=60,StepUp5,IF(ROWS($W$9:W47)&lt;=72,StepUp6,IF(ROWS($W$9:W47)&lt;=84,StepUp7,0))))))))))</f>
        <v/>
      </c>
      <c r="X47" s="101" t="str">
        <f ca="1">IF(V47="","",IF(AND(strikeType=DataValidation!$C$2,V47&gt;strike),('Cap Pricer'!V47-strike)*notional*((Volatilities_Resets!D42-Volatilities_Resets!C42)/360),IF(AND(strikeType=DataValidation!$C$3,V47&gt;W47),(V47-W47)*notional*((Volatilities_Resets!D42-Volatilities_Resets!C42)/360),0)))</f>
        <v/>
      </c>
      <c r="Y47" s="101" t="str">
        <f ca="1">IF(P47="","",(IF(X47&gt;0, ((VLOOKUP('Cap Pricer'!$P47,Calculator!$C$15:$T$98,18))*X47), 0)))</f>
        <v/>
      </c>
    </row>
    <row r="48" spans="1:25" x14ac:dyDescent="0.25">
      <c r="P48" s="108" t="str">
        <f ca="1">IF($Q48="","",COUNT($Q$9:$Q48))</f>
        <v/>
      </c>
      <c r="Q48" s="111" t="str">
        <f ca="1">IF($Q47="","",IF($Q47&lt;EDATE(DataValidation!$I$13,$E$19-1),EDATE($Q47,1),""))</f>
        <v/>
      </c>
      <c r="R48" s="98"/>
      <c r="S48" s="173" t="str">
        <f ca="1">IF(Q48="","",(VLOOKUP($Q48,Calculator!$D$15:$L$98,9)+SUM(DataValidation!$I$16:$I$17)/$E$19))</f>
        <v/>
      </c>
      <c r="T48" s="113" t="str">
        <f t="shared" ca="1" si="1"/>
        <v/>
      </c>
      <c r="U48" s="116"/>
      <c r="V48" s="113" t="str">
        <f ca="1">IF(P48="","",'Vols - Forward Curve'!P41)</f>
        <v/>
      </c>
      <c r="W48" s="113" t="str">
        <f ca="1">IF(V48="","",IF(strikeType=DataValidation!$C$2,strike,IF(strikeType=DataValidation!$C$3,IF(ROWS($W$9:W48)&lt;=12,StepUp1,IF(ROWS($W$9:W48)&lt;=24,StepUp2,IF(ROWS($W$9:W48)&lt;=36,StepUp3,IF(ROWS($W$9:W48)&lt;=48,StepUp4,IF(ROWS($W$9:W48)&lt;=60,StepUp5,IF(ROWS($W$9:W48)&lt;=72,StepUp6,IF(ROWS($W$9:W48)&lt;=84,StepUp7,0))))))))))</f>
        <v/>
      </c>
      <c r="X48" s="101" t="str">
        <f ca="1">IF(V48="","",IF(AND(strikeType=DataValidation!$C$2,V48&gt;strike),('Cap Pricer'!V48-strike)*notional*((Volatilities_Resets!D43-Volatilities_Resets!C43)/360),IF(AND(strikeType=DataValidation!$C$3,V48&gt;W48),(V48-W48)*notional*((Volatilities_Resets!D43-Volatilities_Resets!C43)/360),0)))</f>
        <v/>
      </c>
      <c r="Y48" s="101" t="str">
        <f ca="1">IF(P48="","",(IF(X48&gt;0, ((VLOOKUP('Cap Pricer'!$P48,Calculator!$C$15:$T$98,18))*X48), 0)))</f>
        <v/>
      </c>
    </row>
    <row r="49" spans="16:25" x14ac:dyDescent="0.25">
      <c r="P49" s="108" t="str">
        <f ca="1">IF($Q49="","",COUNT($Q$9:$Q49))</f>
        <v/>
      </c>
      <c r="Q49" s="111" t="str">
        <f ca="1">IF($Q48="","",IF($Q48&lt;EDATE(DataValidation!$I$13,$E$19-1),EDATE($Q48,1),""))</f>
        <v/>
      </c>
      <c r="R49" s="98"/>
      <c r="S49" s="173" t="str">
        <f ca="1">IF(Q49="","",(VLOOKUP($Q49,Calculator!$D$15:$L$98,9)+SUM(DataValidation!$I$16:$I$17)/$E$19))</f>
        <v/>
      </c>
      <c r="T49" s="113" t="str">
        <f t="shared" ca="1" si="1"/>
        <v/>
      </c>
      <c r="U49" s="116"/>
      <c r="V49" s="113" t="str">
        <f ca="1">IF(P49="","",'Vols - Forward Curve'!P42)</f>
        <v/>
      </c>
      <c r="W49" s="113" t="str">
        <f ca="1">IF(V49="","",IF(strikeType=DataValidation!$C$2,strike,IF(strikeType=DataValidation!$C$3,IF(ROWS($W$9:W49)&lt;=12,StepUp1,IF(ROWS($W$9:W49)&lt;=24,StepUp2,IF(ROWS($W$9:W49)&lt;=36,StepUp3,IF(ROWS($W$9:W49)&lt;=48,StepUp4,IF(ROWS($W$9:W49)&lt;=60,StepUp5,IF(ROWS($W$9:W49)&lt;=72,StepUp6,IF(ROWS($W$9:W49)&lt;=84,StepUp7,0))))))))))</f>
        <v/>
      </c>
      <c r="X49" s="101" t="str">
        <f ca="1">IF(V49="","",IF(AND(strikeType=DataValidation!$C$2,V49&gt;strike),('Cap Pricer'!V49-strike)*notional*((Volatilities_Resets!D44-Volatilities_Resets!C44)/360),IF(AND(strikeType=DataValidation!$C$3,V49&gt;W49),(V49-W49)*notional*((Volatilities_Resets!D44-Volatilities_Resets!C44)/360),0)))</f>
        <v/>
      </c>
      <c r="Y49" s="101" t="str">
        <f ca="1">IF(P49="","",(IF(X49&gt;0, ((VLOOKUP('Cap Pricer'!$P49,Calculator!$C$15:$T$98,18))*X49), 0)))</f>
        <v/>
      </c>
    </row>
    <row r="50" spans="16:25" x14ac:dyDescent="0.25">
      <c r="P50" s="108" t="str">
        <f ca="1">IF($Q50="","",COUNT($Q$9:$Q50))</f>
        <v/>
      </c>
      <c r="Q50" s="111" t="str">
        <f ca="1">IF($Q49="","",IF($Q49&lt;EDATE(DataValidation!$I$13,$E$19-1),EDATE($Q49,1),""))</f>
        <v/>
      </c>
      <c r="R50" s="98"/>
      <c r="S50" s="173" t="str">
        <f ca="1">IF(Q50="","",(VLOOKUP($Q50,Calculator!$D$15:$L$98,9)+SUM(DataValidation!$I$16:$I$17)/$E$19))</f>
        <v/>
      </c>
      <c r="T50" s="113" t="str">
        <f t="shared" ca="1" si="1"/>
        <v/>
      </c>
      <c r="U50" s="116"/>
      <c r="V50" s="113" t="str">
        <f ca="1">IF(P50="","",'Vols - Forward Curve'!P43)</f>
        <v/>
      </c>
      <c r="W50" s="113" t="str">
        <f ca="1">IF(V50="","",IF(strikeType=DataValidation!$C$2,strike,IF(strikeType=DataValidation!$C$3,IF(ROWS($W$9:W50)&lt;=12,StepUp1,IF(ROWS($W$9:W50)&lt;=24,StepUp2,IF(ROWS($W$9:W50)&lt;=36,StepUp3,IF(ROWS($W$9:W50)&lt;=48,StepUp4,IF(ROWS($W$9:W50)&lt;=60,StepUp5,IF(ROWS($W$9:W50)&lt;=72,StepUp6,IF(ROWS($W$9:W50)&lt;=84,StepUp7,0))))))))))</f>
        <v/>
      </c>
      <c r="X50" s="101" t="str">
        <f ca="1">IF(V50="","",IF(AND(strikeType=DataValidation!$C$2,V50&gt;strike),('Cap Pricer'!V50-strike)*notional*((Volatilities_Resets!D45-Volatilities_Resets!C45)/360),IF(AND(strikeType=DataValidation!$C$3,V50&gt;W50),(V50-W50)*notional*((Volatilities_Resets!D45-Volatilities_Resets!C45)/360),0)))</f>
        <v/>
      </c>
      <c r="Y50" s="101" t="str">
        <f ca="1">IF(P50="","",(IF(X50&gt;0, ((VLOOKUP('Cap Pricer'!$P50,Calculator!$C$15:$T$98,18))*X50), 0)))</f>
        <v/>
      </c>
    </row>
    <row r="51" spans="16:25" x14ac:dyDescent="0.25">
      <c r="P51" s="108" t="str">
        <f ca="1">IF($Q51="","",COUNT($Q$9:$Q51))</f>
        <v/>
      </c>
      <c r="Q51" s="111" t="str">
        <f ca="1">IF($Q50="","",IF($Q50&lt;EDATE(DataValidation!$I$13,$E$19-1),EDATE($Q50,1),""))</f>
        <v/>
      </c>
      <c r="R51" s="98"/>
      <c r="S51" s="173" t="str">
        <f ca="1">IF(Q51="","",(VLOOKUP($Q51,Calculator!$D$15:$L$98,9)+SUM(DataValidation!$I$16:$I$17)/$E$19))</f>
        <v/>
      </c>
      <c r="T51" s="113" t="str">
        <f t="shared" ca="1" si="1"/>
        <v/>
      </c>
      <c r="U51" s="116"/>
      <c r="V51" s="113" t="str">
        <f ca="1">IF(P51="","",'Vols - Forward Curve'!P44)</f>
        <v/>
      </c>
      <c r="W51" s="113" t="str">
        <f ca="1">IF(V51="","",IF(strikeType=DataValidation!$C$2,strike,IF(strikeType=DataValidation!$C$3,IF(ROWS($W$9:W51)&lt;=12,StepUp1,IF(ROWS($W$9:W51)&lt;=24,StepUp2,IF(ROWS($W$9:W51)&lt;=36,StepUp3,IF(ROWS($W$9:W51)&lt;=48,StepUp4,IF(ROWS($W$9:W51)&lt;=60,StepUp5,IF(ROWS($W$9:W51)&lt;=72,StepUp6,IF(ROWS($W$9:W51)&lt;=84,StepUp7,0))))))))))</f>
        <v/>
      </c>
      <c r="X51" s="101" t="str">
        <f ca="1">IF(V51="","",IF(AND(strikeType=DataValidation!$C$2,V51&gt;strike),('Cap Pricer'!V51-strike)*notional*((Volatilities_Resets!D46-Volatilities_Resets!C46)/360),IF(AND(strikeType=DataValidation!$C$3,V51&gt;W51),(V51-W51)*notional*((Volatilities_Resets!D46-Volatilities_Resets!C46)/360),0)))</f>
        <v/>
      </c>
      <c r="Y51" s="101" t="str">
        <f ca="1">IF(P51="","",(IF(X51&gt;0, ((VLOOKUP('Cap Pricer'!$P51,Calculator!$C$15:$T$98,18))*X51), 0)))</f>
        <v/>
      </c>
    </row>
    <row r="52" spans="16:25" x14ac:dyDescent="0.25">
      <c r="P52" s="108" t="str">
        <f ca="1">IF($Q52="","",COUNT($Q$9:$Q52))</f>
        <v/>
      </c>
      <c r="Q52" s="111" t="str">
        <f ca="1">IF($Q51="","",IF($Q51&lt;EDATE(DataValidation!$I$13,$E$19-1),EDATE($Q51,1),""))</f>
        <v/>
      </c>
      <c r="R52" s="98"/>
      <c r="S52" s="173" t="str">
        <f ca="1">IF(Q52="","",(VLOOKUP($Q52,Calculator!$D$15:$L$98,9)+SUM(DataValidation!$I$16:$I$17)/$E$19))</f>
        <v/>
      </c>
      <c r="T52" s="113" t="str">
        <f t="shared" ca="1" si="1"/>
        <v/>
      </c>
      <c r="U52" s="116"/>
      <c r="V52" s="113" t="str">
        <f ca="1">IF(P52="","",'Vols - Forward Curve'!P45)</f>
        <v/>
      </c>
      <c r="W52" s="113" t="str">
        <f ca="1">IF(V52="","",IF(strikeType=DataValidation!$C$2,strike,IF(strikeType=DataValidation!$C$3,IF(ROWS($W$9:W52)&lt;=12,StepUp1,IF(ROWS($W$9:W52)&lt;=24,StepUp2,IF(ROWS($W$9:W52)&lt;=36,StepUp3,IF(ROWS($W$9:W52)&lt;=48,StepUp4,IF(ROWS($W$9:W52)&lt;=60,StepUp5,IF(ROWS($W$9:W52)&lt;=72,StepUp6,IF(ROWS($W$9:W52)&lt;=84,StepUp7,0))))))))))</f>
        <v/>
      </c>
      <c r="X52" s="101" t="str">
        <f ca="1">IF(V52="","",IF(AND(strikeType=DataValidation!$C$2,V52&gt;strike),('Cap Pricer'!V52-strike)*notional*((Volatilities_Resets!D47-Volatilities_Resets!C47)/360),IF(AND(strikeType=DataValidation!$C$3,V52&gt;W52),(V52-W52)*notional*((Volatilities_Resets!D47-Volatilities_Resets!C47)/360),0)))</f>
        <v/>
      </c>
      <c r="Y52" s="101" t="str">
        <f ca="1">IF(P52="","",(IF(X52&gt;0, ((VLOOKUP('Cap Pricer'!$P52,Calculator!$C$15:$T$98,18))*X52), 0)))</f>
        <v/>
      </c>
    </row>
    <row r="53" spans="16:25" x14ac:dyDescent="0.25">
      <c r="P53" s="108" t="str">
        <f ca="1">IF($Q53="","",COUNT($Q$9:$Q53))</f>
        <v/>
      </c>
      <c r="Q53" s="111" t="str">
        <f ca="1">IF($Q52="","",IF($Q52&lt;EDATE(DataValidation!$I$13,$E$19-1),EDATE($Q52,1),""))</f>
        <v/>
      </c>
      <c r="R53" s="98"/>
      <c r="S53" s="173" t="str">
        <f ca="1">IF(Q53="","",(VLOOKUP($Q53,Calculator!$D$15:$L$98,9)+SUM(DataValidation!$I$16:$I$17)/$E$19))</f>
        <v/>
      </c>
      <c r="T53" s="113" t="str">
        <f t="shared" ca="1" si="1"/>
        <v/>
      </c>
      <c r="U53" s="116"/>
      <c r="V53" s="113" t="str">
        <f ca="1">IF(P53="","",'Vols - Forward Curve'!P46)</f>
        <v/>
      </c>
      <c r="W53" s="113" t="str">
        <f ca="1">IF(V53="","",IF(strikeType=DataValidation!$C$2,strike,IF(strikeType=DataValidation!$C$3,IF(ROWS($W$9:W53)&lt;=12,StepUp1,IF(ROWS($W$9:W53)&lt;=24,StepUp2,IF(ROWS($W$9:W53)&lt;=36,StepUp3,IF(ROWS($W$9:W53)&lt;=48,StepUp4,IF(ROWS($W$9:W53)&lt;=60,StepUp5,IF(ROWS($W$9:W53)&lt;=72,StepUp6,IF(ROWS($W$9:W53)&lt;=84,StepUp7,0))))))))))</f>
        <v/>
      </c>
      <c r="X53" s="101" t="str">
        <f ca="1">IF(V53="","",IF(AND(strikeType=DataValidation!$C$2,V53&gt;strike),('Cap Pricer'!V53-strike)*notional*((Volatilities_Resets!D48-Volatilities_Resets!C48)/360),IF(AND(strikeType=DataValidation!$C$3,V53&gt;W53),(V53-W53)*notional*((Volatilities_Resets!D48-Volatilities_Resets!C48)/360),0)))</f>
        <v/>
      </c>
      <c r="Y53" s="101" t="str">
        <f ca="1">IF(P53="","",(IF(X53&gt;0, ((VLOOKUP('Cap Pricer'!$P53,Calculator!$C$15:$T$98,18))*X53), 0)))</f>
        <v/>
      </c>
    </row>
    <row r="54" spans="16:25" x14ac:dyDescent="0.25">
      <c r="P54" s="108" t="str">
        <f ca="1">IF($Q54="","",COUNT($Q$9:$Q54))</f>
        <v/>
      </c>
      <c r="Q54" s="111" t="str">
        <f ca="1">IF($Q53="","",IF($Q53&lt;EDATE(DataValidation!$I$13,$E$19-1),EDATE($Q53,1),""))</f>
        <v/>
      </c>
      <c r="R54" s="98"/>
      <c r="S54" s="173" t="str">
        <f ca="1">IF(Q54="","",(VLOOKUP($Q54,Calculator!$D$15:$L$98,9)+SUM(DataValidation!$I$16:$I$17)/$E$19))</f>
        <v/>
      </c>
      <c r="T54" s="113" t="str">
        <f t="shared" ca="1" si="1"/>
        <v/>
      </c>
      <c r="U54" s="116"/>
      <c r="V54" s="113" t="str">
        <f ca="1">IF(P54="","",'Vols - Forward Curve'!P47)</f>
        <v/>
      </c>
      <c r="W54" s="113" t="str">
        <f ca="1">IF(V54="","",IF(strikeType=DataValidation!$C$2,strike,IF(strikeType=DataValidation!$C$3,IF(ROWS($W$9:W54)&lt;=12,StepUp1,IF(ROWS($W$9:W54)&lt;=24,StepUp2,IF(ROWS($W$9:W54)&lt;=36,StepUp3,IF(ROWS($W$9:W54)&lt;=48,StepUp4,IF(ROWS($W$9:W54)&lt;=60,StepUp5,IF(ROWS($W$9:W54)&lt;=72,StepUp6,IF(ROWS($W$9:W54)&lt;=84,StepUp7,0))))))))))</f>
        <v/>
      </c>
      <c r="X54" s="101" t="str">
        <f ca="1">IF(V54="","",IF(AND(strikeType=DataValidation!$C$2,V54&gt;strike),('Cap Pricer'!V54-strike)*notional*((Volatilities_Resets!D49-Volatilities_Resets!C49)/360),IF(AND(strikeType=DataValidation!$C$3,V54&gt;W54),(V54-W54)*notional*((Volatilities_Resets!D49-Volatilities_Resets!C49)/360),0)))</f>
        <v/>
      </c>
      <c r="Y54" s="101" t="str">
        <f ca="1">IF(P54="","",(IF(X54&gt;0, ((VLOOKUP('Cap Pricer'!$P54,Calculator!$C$15:$T$98,18))*X54), 0)))</f>
        <v/>
      </c>
    </row>
    <row r="55" spans="16:25" x14ac:dyDescent="0.25">
      <c r="P55" s="108" t="str">
        <f ca="1">IF($Q55="","",COUNT($Q$9:$Q55))</f>
        <v/>
      </c>
      <c r="Q55" s="111" t="str">
        <f ca="1">IF($Q54="","",IF($Q54&lt;EDATE(DataValidation!$I$13,$E$19-1),EDATE($Q54,1),""))</f>
        <v/>
      </c>
      <c r="R55" s="98"/>
      <c r="S55" s="173" t="str">
        <f ca="1">IF(Q55="","",(VLOOKUP($Q55,Calculator!$D$15:$L$98,9)+SUM(DataValidation!$I$16:$I$17)/$E$19))</f>
        <v/>
      </c>
      <c r="T55" s="113" t="str">
        <f t="shared" ca="1" si="1"/>
        <v/>
      </c>
      <c r="U55" s="116"/>
      <c r="V55" s="113" t="str">
        <f ca="1">IF(P55="","",'Vols - Forward Curve'!P48)</f>
        <v/>
      </c>
      <c r="W55" s="113" t="str">
        <f ca="1">IF(V55="","",IF(strikeType=DataValidation!$C$2,strike,IF(strikeType=DataValidation!$C$3,IF(ROWS($W$9:W55)&lt;=12,StepUp1,IF(ROWS($W$9:W55)&lt;=24,StepUp2,IF(ROWS($W$9:W55)&lt;=36,StepUp3,IF(ROWS($W$9:W55)&lt;=48,StepUp4,IF(ROWS($W$9:W55)&lt;=60,StepUp5,IF(ROWS($W$9:W55)&lt;=72,StepUp6,IF(ROWS($W$9:W55)&lt;=84,StepUp7,0))))))))))</f>
        <v/>
      </c>
      <c r="X55" s="101" t="str">
        <f ca="1">IF(V55="","",IF(AND(strikeType=DataValidation!$C$2,V55&gt;strike),('Cap Pricer'!V55-strike)*notional*((Volatilities_Resets!D50-Volatilities_Resets!C50)/360),IF(AND(strikeType=DataValidation!$C$3,V55&gt;W55),(V55-W55)*notional*((Volatilities_Resets!D50-Volatilities_Resets!C50)/360),0)))</f>
        <v/>
      </c>
      <c r="Y55" s="101" t="str">
        <f ca="1">IF(P55="","",(IF(X55&gt;0, ((VLOOKUP('Cap Pricer'!$P55,Calculator!$C$15:$T$98,18))*X55), 0)))</f>
        <v/>
      </c>
    </row>
    <row r="56" spans="16:25" x14ac:dyDescent="0.25">
      <c r="P56" s="108" t="str">
        <f ca="1">IF($Q56="","",COUNT($Q$9:$Q56))</f>
        <v/>
      </c>
      <c r="Q56" s="111" t="str">
        <f ca="1">IF($Q55="","",IF($Q55&lt;EDATE(DataValidation!$I$13,$E$19-1),EDATE($Q55,1),""))</f>
        <v/>
      </c>
      <c r="R56" s="98"/>
      <c r="S56" s="173" t="str">
        <f ca="1">IF(Q56="","",(VLOOKUP($Q56,Calculator!$D$15:$L$98,9)+SUM(DataValidation!$I$16:$I$17)/$E$19))</f>
        <v/>
      </c>
      <c r="T56" s="113" t="str">
        <f t="shared" ca="1" si="1"/>
        <v/>
      </c>
      <c r="U56" s="116"/>
      <c r="V56" s="113" t="str">
        <f ca="1">IF(P56="","",'Vols - Forward Curve'!P49)</f>
        <v/>
      </c>
      <c r="W56" s="113" t="str">
        <f ca="1">IF(V56="","",IF(strikeType=DataValidation!$C$2,strike,IF(strikeType=DataValidation!$C$3,IF(ROWS($W$9:W56)&lt;=12,StepUp1,IF(ROWS($W$9:W56)&lt;=24,StepUp2,IF(ROWS($W$9:W56)&lt;=36,StepUp3,IF(ROWS($W$9:W56)&lt;=48,StepUp4,IF(ROWS($W$9:W56)&lt;=60,StepUp5,IF(ROWS($W$9:W56)&lt;=72,StepUp6,IF(ROWS($W$9:W56)&lt;=84,StepUp7,0))))))))))</f>
        <v/>
      </c>
      <c r="X56" s="101" t="str">
        <f ca="1">IF(V56="","",IF(AND(strikeType=DataValidation!$C$2,V56&gt;strike),('Cap Pricer'!V56-strike)*notional*((Volatilities_Resets!D51-Volatilities_Resets!C51)/360),IF(AND(strikeType=DataValidation!$C$3,V56&gt;W56),(V56-W56)*notional*((Volatilities_Resets!D51-Volatilities_Resets!C51)/360),0)))</f>
        <v/>
      </c>
      <c r="Y56" s="101" t="str">
        <f ca="1">IF(P56="","",(IF(X56&gt;0, ((VLOOKUP('Cap Pricer'!$P56,Calculator!$C$15:$T$98,18))*X56), 0)))</f>
        <v/>
      </c>
    </row>
    <row r="57" spans="16:25" x14ac:dyDescent="0.25">
      <c r="P57" s="108" t="str">
        <f ca="1">IF($Q57="","",COUNT($Q$9:$Q57))</f>
        <v/>
      </c>
      <c r="Q57" s="111" t="str">
        <f ca="1">IF($Q56="","",IF($Q56&lt;EDATE(DataValidation!$I$13,$E$19-1),EDATE($Q56,1),""))</f>
        <v/>
      </c>
      <c r="R57" s="98"/>
      <c r="S57" s="173" t="str">
        <f ca="1">IF(Q57="","",(VLOOKUP($Q57,Calculator!$D$15:$L$98,9)+SUM(DataValidation!$I$16:$I$17)/$E$19))</f>
        <v/>
      </c>
      <c r="T57" s="113" t="str">
        <f t="shared" ca="1" si="1"/>
        <v/>
      </c>
      <c r="U57" s="116"/>
      <c r="V57" s="113" t="str">
        <f ca="1">IF(P57="","",'Vols - Forward Curve'!P50)</f>
        <v/>
      </c>
      <c r="W57" s="113" t="str">
        <f ca="1">IF(V57="","",IF(strikeType=DataValidation!$C$2,strike,IF(strikeType=DataValidation!$C$3,IF(ROWS($W$9:W57)&lt;=12,StepUp1,IF(ROWS($W$9:W57)&lt;=24,StepUp2,IF(ROWS($W$9:W57)&lt;=36,StepUp3,IF(ROWS($W$9:W57)&lt;=48,StepUp4,IF(ROWS($W$9:W57)&lt;=60,StepUp5,IF(ROWS($W$9:W57)&lt;=72,StepUp6,IF(ROWS($W$9:W57)&lt;=84,StepUp7,0))))))))))</f>
        <v/>
      </c>
      <c r="X57" s="101" t="str">
        <f ca="1">IF(V57="","",IF(AND(strikeType=DataValidation!$C$2,V57&gt;strike),('Cap Pricer'!V57-strike)*notional*((Volatilities_Resets!D52-Volatilities_Resets!C52)/360),IF(AND(strikeType=DataValidation!$C$3,V57&gt;W57),(V57-W57)*notional*((Volatilities_Resets!D52-Volatilities_Resets!C52)/360),0)))</f>
        <v/>
      </c>
      <c r="Y57" s="101" t="str">
        <f ca="1">IF(P57="","",(IF(X57&gt;0, ((VLOOKUP('Cap Pricer'!$P57,Calculator!$C$15:$T$98,18))*X57), 0)))</f>
        <v/>
      </c>
    </row>
    <row r="58" spans="16:25" x14ac:dyDescent="0.25">
      <c r="P58" s="108" t="str">
        <f ca="1">IF($Q58="","",COUNT($Q$9:$Q58))</f>
        <v/>
      </c>
      <c r="Q58" s="111" t="str">
        <f ca="1">IF($Q57="","",IF($Q57&lt;EDATE(DataValidation!$I$13,$E$19-1),EDATE($Q57,1),""))</f>
        <v/>
      </c>
      <c r="R58" s="98"/>
      <c r="S58" s="173" t="str">
        <f ca="1">IF(Q58="","",(VLOOKUP($Q58,Calculator!$D$15:$L$98,9)+SUM(DataValidation!$I$16:$I$17)/$E$19))</f>
        <v/>
      </c>
      <c r="T58" s="113" t="str">
        <f t="shared" ca="1" si="1"/>
        <v/>
      </c>
      <c r="U58" s="116"/>
      <c r="V58" s="113" t="str">
        <f ca="1">IF(P58="","",'Vols - Forward Curve'!P51)</f>
        <v/>
      </c>
      <c r="W58" s="113" t="str">
        <f ca="1">IF(V58="","",IF(strikeType=DataValidation!$C$2,strike,IF(strikeType=DataValidation!$C$3,IF(ROWS($W$9:W58)&lt;=12,StepUp1,IF(ROWS($W$9:W58)&lt;=24,StepUp2,IF(ROWS($W$9:W58)&lt;=36,StepUp3,IF(ROWS($W$9:W58)&lt;=48,StepUp4,IF(ROWS($W$9:W58)&lt;=60,StepUp5,IF(ROWS($W$9:W58)&lt;=72,StepUp6,IF(ROWS($W$9:W58)&lt;=84,StepUp7,0))))))))))</f>
        <v/>
      </c>
      <c r="X58" s="101" t="str">
        <f ca="1">IF(V58="","",IF(AND(strikeType=DataValidation!$C$2,V58&gt;strike),('Cap Pricer'!V58-strike)*notional*((Volatilities_Resets!D53-Volatilities_Resets!C53)/360),IF(AND(strikeType=DataValidation!$C$3,V58&gt;W58),(V58-W58)*notional*((Volatilities_Resets!D53-Volatilities_Resets!C53)/360),0)))</f>
        <v/>
      </c>
      <c r="Y58" s="101" t="str">
        <f ca="1">IF(P58="","",(IF(X58&gt;0, ((VLOOKUP('Cap Pricer'!$P58,Calculator!$C$15:$T$98,18))*X58), 0)))</f>
        <v/>
      </c>
    </row>
    <row r="59" spans="16:25" x14ac:dyDescent="0.25">
      <c r="P59" s="108" t="str">
        <f ca="1">IF($Q59="","",COUNT($Q$9:$Q59))</f>
        <v/>
      </c>
      <c r="Q59" s="111" t="str">
        <f ca="1">IF($Q58="","",IF($Q58&lt;EDATE(DataValidation!$I$13,$E$19-1),EDATE($Q58,1),""))</f>
        <v/>
      </c>
      <c r="R59" s="98"/>
      <c r="S59" s="173" t="str">
        <f ca="1">IF(Q59="","",(VLOOKUP($Q59,Calculator!$D$15:$L$98,9)+SUM(DataValidation!$I$16:$I$17)/$E$19))</f>
        <v/>
      </c>
      <c r="T59" s="113" t="str">
        <f t="shared" ca="1" si="1"/>
        <v/>
      </c>
      <c r="U59" s="116"/>
      <c r="V59" s="113" t="str">
        <f ca="1">IF(P59="","",'Vols - Forward Curve'!P52)</f>
        <v/>
      </c>
      <c r="W59" s="113" t="str">
        <f ca="1">IF(V59="","",IF(strikeType=DataValidation!$C$2,strike,IF(strikeType=DataValidation!$C$3,IF(ROWS($W$9:W59)&lt;=12,StepUp1,IF(ROWS($W$9:W59)&lt;=24,StepUp2,IF(ROWS($W$9:W59)&lt;=36,StepUp3,IF(ROWS($W$9:W59)&lt;=48,StepUp4,IF(ROWS($W$9:W59)&lt;=60,StepUp5,IF(ROWS($W$9:W59)&lt;=72,StepUp6,IF(ROWS($W$9:W59)&lt;=84,StepUp7,0))))))))))</f>
        <v/>
      </c>
      <c r="X59" s="101" t="str">
        <f ca="1">IF(V59="","",IF(AND(strikeType=DataValidation!$C$2,V59&gt;strike),('Cap Pricer'!V59-strike)*notional*((Volatilities_Resets!D54-Volatilities_Resets!C54)/360),IF(AND(strikeType=DataValidation!$C$3,V59&gt;W59),(V59-W59)*notional*((Volatilities_Resets!D54-Volatilities_Resets!C54)/360),0)))</f>
        <v/>
      </c>
      <c r="Y59" s="101" t="str">
        <f ca="1">IF(P59="","",(IF(X59&gt;0, ((VLOOKUP('Cap Pricer'!$P59,Calculator!$C$15:$T$98,18))*X59), 0)))</f>
        <v/>
      </c>
    </row>
    <row r="60" spans="16:25" x14ac:dyDescent="0.25">
      <c r="P60" s="108" t="str">
        <f ca="1">IF($Q60="","",COUNT($Q$9:$Q60))</f>
        <v/>
      </c>
      <c r="Q60" s="111" t="str">
        <f ca="1">IF($Q59="","",IF($Q59&lt;EDATE(DataValidation!$I$13,$E$19-1),EDATE($Q59,1),""))</f>
        <v/>
      </c>
      <c r="R60" s="98"/>
      <c r="S60" s="173" t="str">
        <f ca="1">IF(Q60="","",(VLOOKUP($Q60,Calculator!$D$15:$L$98,9)+SUM(DataValidation!$I$16:$I$17)/$E$19))</f>
        <v/>
      </c>
      <c r="T60" s="113" t="str">
        <f t="shared" ca="1" si="1"/>
        <v/>
      </c>
      <c r="U60" s="116"/>
      <c r="V60" s="113" t="str">
        <f ca="1">IF(P60="","",'Vols - Forward Curve'!P53)</f>
        <v/>
      </c>
      <c r="W60" s="113" t="str">
        <f ca="1">IF(V60="","",IF(strikeType=DataValidation!$C$2,strike,IF(strikeType=DataValidation!$C$3,IF(ROWS($W$9:W60)&lt;=12,StepUp1,IF(ROWS($W$9:W60)&lt;=24,StepUp2,IF(ROWS($W$9:W60)&lt;=36,StepUp3,IF(ROWS($W$9:W60)&lt;=48,StepUp4,IF(ROWS($W$9:W60)&lt;=60,StepUp5,IF(ROWS($W$9:W60)&lt;=72,StepUp6,IF(ROWS($W$9:W60)&lt;=84,StepUp7,0))))))))))</f>
        <v/>
      </c>
      <c r="X60" s="101" t="str">
        <f ca="1">IF(V60="","",IF(AND(strikeType=DataValidation!$C$2,V60&gt;strike),('Cap Pricer'!V60-strike)*notional*((Volatilities_Resets!D55-Volatilities_Resets!C55)/360),IF(AND(strikeType=DataValidation!$C$3,V60&gt;W60),(V60-W60)*notional*((Volatilities_Resets!D55-Volatilities_Resets!C55)/360),0)))</f>
        <v/>
      </c>
      <c r="Y60" s="101" t="str">
        <f ca="1">IF(P60="","",(IF(X60&gt;0, ((VLOOKUP('Cap Pricer'!$P60,Calculator!$C$15:$T$98,18))*X60), 0)))</f>
        <v/>
      </c>
    </row>
    <row r="61" spans="16:25" x14ac:dyDescent="0.25">
      <c r="P61" s="108" t="str">
        <f ca="1">IF($Q61="","",COUNT($Q$9:$Q61))</f>
        <v/>
      </c>
      <c r="Q61" s="111" t="str">
        <f ca="1">IF($Q60="","",IF($Q60&lt;EDATE(DataValidation!$I$13,$E$19-1),EDATE($Q60,1),""))</f>
        <v/>
      </c>
      <c r="R61" s="98"/>
      <c r="S61" s="173" t="str">
        <f ca="1">IF(Q61="","",(VLOOKUP($Q61,Calculator!$D$15:$L$98,9)+SUM(DataValidation!$I$16:$I$17)/$E$19))</f>
        <v/>
      </c>
      <c r="T61" s="113" t="str">
        <f t="shared" ca="1" si="1"/>
        <v/>
      </c>
      <c r="U61" s="116"/>
      <c r="V61" s="113" t="str">
        <f ca="1">IF(P61="","",'Vols - Forward Curve'!P54)</f>
        <v/>
      </c>
      <c r="W61" s="113" t="str">
        <f ca="1">IF(V61="","",IF(strikeType=DataValidation!$C$2,strike,IF(strikeType=DataValidation!$C$3,IF(ROWS($W$9:W61)&lt;=12,StepUp1,IF(ROWS($W$9:W61)&lt;=24,StepUp2,IF(ROWS($W$9:W61)&lt;=36,StepUp3,IF(ROWS($W$9:W61)&lt;=48,StepUp4,IF(ROWS($W$9:W61)&lt;=60,StepUp5,IF(ROWS($W$9:W61)&lt;=72,StepUp6,IF(ROWS($W$9:W61)&lt;=84,StepUp7,0))))))))))</f>
        <v/>
      </c>
      <c r="X61" s="101" t="str">
        <f ca="1">IF(V61="","",IF(AND(strikeType=DataValidation!$C$2,V61&gt;strike),('Cap Pricer'!V61-strike)*notional*((Volatilities_Resets!D56-Volatilities_Resets!C56)/360),IF(AND(strikeType=DataValidation!$C$3,V61&gt;W61),(V61-W61)*notional*((Volatilities_Resets!D56-Volatilities_Resets!C56)/360),0)))</f>
        <v/>
      </c>
      <c r="Y61" s="101" t="str">
        <f ca="1">IF(P61="","",(IF(X61&gt;0, ((VLOOKUP('Cap Pricer'!$P61,Calculator!$C$15:$T$98,18))*X61), 0)))</f>
        <v/>
      </c>
    </row>
    <row r="62" spans="16:25" x14ac:dyDescent="0.25">
      <c r="P62" s="108" t="str">
        <f ca="1">IF($Q62="","",COUNT($Q$9:$Q62))</f>
        <v/>
      </c>
      <c r="Q62" s="111" t="str">
        <f ca="1">IF($Q61="","",IF($Q61&lt;EDATE(DataValidation!$I$13,$E$19-1),EDATE($Q61,1),""))</f>
        <v/>
      </c>
      <c r="R62" s="98"/>
      <c r="S62" s="173" t="str">
        <f ca="1">IF(Q62="","",(VLOOKUP($Q62,Calculator!$D$15:$L$98,9)+SUM(DataValidation!$I$16:$I$17)/$E$19))</f>
        <v/>
      </c>
      <c r="T62" s="113" t="str">
        <f t="shared" ca="1" si="1"/>
        <v/>
      </c>
      <c r="U62" s="116"/>
      <c r="V62" s="113" t="str">
        <f ca="1">IF(P62="","",'Vols - Forward Curve'!P55)</f>
        <v/>
      </c>
      <c r="W62" s="113" t="str">
        <f ca="1">IF(V62="","",IF(strikeType=DataValidation!$C$2,strike,IF(strikeType=DataValidation!$C$3,IF(ROWS($W$9:W62)&lt;=12,StepUp1,IF(ROWS($W$9:W62)&lt;=24,StepUp2,IF(ROWS($W$9:W62)&lt;=36,StepUp3,IF(ROWS($W$9:W62)&lt;=48,StepUp4,IF(ROWS($W$9:W62)&lt;=60,StepUp5,IF(ROWS($W$9:W62)&lt;=72,StepUp6,IF(ROWS($W$9:W62)&lt;=84,StepUp7,0))))))))))</f>
        <v/>
      </c>
      <c r="X62" s="101" t="str">
        <f ca="1">IF(V62="","",IF(AND(strikeType=DataValidation!$C$2,V62&gt;strike),('Cap Pricer'!V62-strike)*notional*((Volatilities_Resets!D57-Volatilities_Resets!C57)/360),IF(AND(strikeType=DataValidation!$C$3,V62&gt;W62),(V62-W62)*notional*((Volatilities_Resets!D57-Volatilities_Resets!C57)/360),0)))</f>
        <v/>
      </c>
      <c r="Y62" s="101" t="str">
        <f ca="1">IF(P62="","",(IF(X62&gt;0, ((VLOOKUP('Cap Pricer'!$P62,Calculator!$C$15:$T$98,18))*X62), 0)))</f>
        <v/>
      </c>
    </row>
    <row r="63" spans="16:25" x14ac:dyDescent="0.25">
      <c r="P63" s="108" t="str">
        <f ca="1">IF($Q63="","",COUNT($Q$9:$Q63))</f>
        <v/>
      </c>
      <c r="Q63" s="111" t="str">
        <f ca="1">IF($Q62="","",IF($Q62&lt;EDATE(DataValidation!$I$13,$E$19-1),EDATE($Q62,1),""))</f>
        <v/>
      </c>
      <c r="R63" s="98"/>
      <c r="S63" s="173" t="str">
        <f ca="1">IF(Q63="","",(VLOOKUP($Q63,Calculator!$D$15:$L$98,9)+SUM(DataValidation!$I$16:$I$17)/$E$19))</f>
        <v/>
      </c>
      <c r="T63" s="113" t="str">
        <f t="shared" ca="1" si="1"/>
        <v/>
      </c>
      <c r="U63" s="116"/>
      <c r="V63" s="113" t="str">
        <f ca="1">IF(P63="","",'Vols - Forward Curve'!P56)</f>
        <v/>
      </c>
      <c r="W63" s="113" t="str">
        <f ca="1">IF(V63="","",IF(strikeType=DataValidation!$C$2,strike,IF(strikeType=DataValidation!$C$3,IF(ROWS($W$9:W63)&lt;=12,StepUp1,IF(ROWS($W$9:W63)&lt;=24,StepUp2,IF(ROWS($W$9:W63)&lt;=36,StepUp3,IF(ROWS($W$9:W63)&lt;=48,StepUp4,IF(ROWS($W$9:W63)&lt;=60,StepUp5,IF(ROWS($W$9:W63)&lt;=72,StepUp6,IF(ROWS($W$9:W63)&lt;=84,StepUp7,0))))))))))</f>
        <v/>
      </c>
      <c r="X63" s="101" t="str">
        <f ca="1">IF(V63="","",IF(AND(strikeType=DataValidation!$C$2,V63&gt;strike),('Cap Pricer'!V63-strike)*notional*((Volatilities_Resets!D58-Volatilities_Resets!C58)/360),IF(AND(strikeType=DataValidation!$C$3,V63&gt;W63),(V63-W63)*notional*((Volatilities_Resets!D58-Volatilities_Resets!C58)/360),0)))</f>
        <v/>
      </c>
      <c r="Y63" s="101" t="str">
        <f ca="1">IF(P63="","",(IF(X63&gt;0, ((VLOOKUP('Cap Pricer'!$P63,Calculator!$C$15:$T$98,18))*X63), 0)))</f>
        <v/>
      </c>
    </row>
    <row r="64" spans="16:25" x14ac:dyDescent="0.25">
      <c r="P64" s="108" t="str">
        <f ca="1">IF($Q64="","",COUNT($Q$9:$Q64))</f>
        <v/>
      </c>
      <c r="Q64" s="111" t="str">
        <f ca="1">IF($Q63="","",IF($Q63&lt;EDATE(DataValidation!$I$13,$E$19-1),EDATE($Q63,1),""))</f>
        <v/>
      </c>
      <c r="R64" s="98"/>
      <c r="S64" s="173" t="str">
        <f ca="1">IF(Q64="","",(VLOOKUP($Q64,Calculator!$D$15:$L$98,9)+SUM(DataValidation!$I$16:$I$17)/$E$19))</f>
        <v/>
      </c>
      <c r="T64" s="113" t="str">
        <f t="shared" ca="1" si="1"/>
        <v/>
      </c>
      <c r="U64" s="116"/>
      <c r="V64" s="113" t="str">
        <f ca="1">IF(P64="","",'Vols - Forward Curve'!P57)</f>
        <v/>
      </c>
      <c r="W64" s="113" t="str">
        <f ca="1">IF(V64="","",IF(strikeType=DataValidation!$C$2,strike,IF(strikeType=DataValidation!$C$3,IF(ROWS($W$9:W64)&lt;=12,StepUp1,IF(ROWS($W$9:W64)&lt;=24,StepUp2,IF(ROWS($W$9:W64)&lt;=36,StepUp3,IF(ROWS($W$9:W64)&lt;=48,StepUp4,IF(ROWS($W$9:W64)&lt;=60,StepUp5,IF(ROWS($W$9:W64)&lt;=72,StepUp6,IF(ROWS($W$9:W64)&lt;=84,StepUp7,0))))))))))</f>
        <v/>
      </c>
      <c r="X64" s="101" t="str">
        <f ca="1">IF(V64="","",IF(AND(strikeType=DataValidation!$C$2,V64&gt;strike),('Cap Pricer'!V64-strike)*notional*((Volatilities_Resets!D59-Volatilities_Resets!C59)/360),IF(AND(strikeType=DataValidation!$C$3,V64&gt;W64),(V64-W64)*notional*((Volatilities_Resets!D59-Volatilities_Resets!C59)/360),0)))</f>
        <v/>
      </c>
      <c r="Y64" s="101" t="str">
        <f ca="1">IF(P64="","",(IF(X64&gt;0, ((VLOOKUP('Cap Pricer'!$P64,Calculator!$C$15:$T$98,18))*X64), 0)))</f>
        <v/>
      </c>
    </row>
    <row r="65" spans="16:25" x14ac:dyDescent="0.25">
      <c r="P65" s="108" t="str">
        <f ca="1">IF($Q65="","",COUNT($Q$9:$Q65))</f>
        <v/>
      </c>
      <c r="Q65" s="111" t="str">
        <f ca="1">IF($Q64="","",IF($Q64&lt;EDATE(DataValidation!$I$13,$E$19-1),EDATE($Q64,1),""))</f>
        <v/>
      </c>
      <c r="R65" s="98"/>
      <c r="S65" s="173" t="str">
        <f ca="1">IF(Q65="","",(VLOOKUP($Q65,Calculator!$D$15:$L$98,9)+SUM(DataValidation!$I$16:$I$17)/$E$19))</f>
        <v/>
      </c>
      <c r="T65" s="113" t="str">
        <f t="shared" ca="1" si="1"/>
        <v/>
      </c>
      <c r="U65" s="116"/>
      <c r="V65" s="113" t="str">
        <f ca="1">IF(P65="","",'Vols - Forward Curve'!P58)</f>
        <v/>
      </c>
      <c r="W65" s="113" t="str">
        <f ca="1">IF(V65="","",IF(strikeType=DataValidation!$C$2,strike,IF(strikeType=DataValidation!$C$3,IF(ROWS($W$9:W65)&lt;=12,StepUp1,IF(ROWS($W$9:W65)&lt;=24,StepUp2,IF(ROWS($W$9:W65)&lt;=36,StepUp3,IF(ROWS($W$9:W65)&lt;=48,StepUp4,IF(ROWS($W$9:W65)&lt;=60,StepUp5,IF(ROWS($W$9:W65)&lt;=72,StepUp6,IF(ROWS($W$9:W65)&lt;=84,StepUp7,0))))))))))</f>
        <v/>
      </c>
      <c r="X65" s="101" t="str">
        <f ca="1">IF(V65="","",IF(AND(strikeType=DataValidation!$C$2,V65&gt;strike),('Cap Pricer'!V65-strike)*notional*((Volatilities_Resets!D60-Volatilities_Resets!C60)/360),IF(AND(strikeType=DataValidation!$C$3,V65&gt;W65),(V65-W65)*notional*((Volatilities_Resets!D60-Volatilities_Resets!C60)/360),0)))</f>
        <v/>
      </c>
      <c r="Y65" s="101" t="str">
        <f ca="1">IF(P65="","",(IF(X65&gt;0, ((VLOOKUP('Cap Pricer'!$P65,Calculator!$C$15:$T$98,18))*X65), 0)))</f>
        <v/>
      </c>
    </row>
    <row r="66" spans="16:25" x14ac:dyDescent="0.25">
      <c r="P66" s="108" t="str">
        <f ca="1">IF($Q66="","",COUNT($Q$9:$Q66))</f>
        <v/>
      </c>
      <c r="Q66" s="111" t="str">
        <f ca="1">IF($Q65="","",IF($Q65&lt;EDATE(DataValidation!$I$13,$E$19-1),EDATE($Q65,1),""))</f>
        <v/>
      </c>
      <c r="R66" s="98"/>
      <c r="S66" s="173" t="str">
        <f ca="1">IF(Q66="","",(VLOOKUP($Q66,Calculator!$D$15:$L$98,9)+SUM(DataValidation!$I$16:$I$17)/$E$19))</f>
        <v/>
      </c>
      <c r="T66" s="113" t="str">
        <f t="shared" ca="1" si="1"/>
        <v/>
      </c>
      <c r="U66" s="116"/>
      <c r="V66" s="113" t="str">
        <f ca="1">IF(P66="","",'Vols - Forward Curve'!P59)</f>
        <v/>
      </c>
      <c r="W66" s="113" t="str">
        <f ca="1">IF(V66="","",IF(strikeType=DataValidation!$C$2,strike,IF(strikeType=DataValidation!$C$3,IF(ROWS($W$9:W66)&lt;=12,StepUp1,IF(ROWS($W$9:W66)&lt;=24,StepUp2,IF(ROWS($W$9:W66)&lt;=36,StepUp3,IF(ROWS($W$9:W66)&lt;=48,StepUp4,IF(ROWS($W$9:W66)&lt;=60,StepUp5,IF(ROWS($W$9:W66)&lt;=72,StepUp6,IF(ROWS($W$9:W66)&lt;=84,StepUp7,0))))))))))</f>
        <v/>
      </c>
      <c r="X66" s="101" t="str">
        <f ca="1">IF(V66="","",IF(AND(strikeType=DataValidation!$C$2,V66&gt;strike),('Cap Pricer'!V66-strike)*notional*((Volatilities_Resets!D61-Volatilities_Resets!C61)/360),IF(AND(strikeType=DataValidation!$C$3,V66&gt;W66),(V66-W66)*notional*((Volatilities_Resets!D61-Volatilities_Resets!C61)/360),0)))</f>
        <v/>
      </c>
      <c r="Y66" s="101" t="str">
        <f ca="1">IF(P66="","",(IF(X66&gt;0, ((VLOOKUP('Cap Pricer'!$P66,Calculator!$C$15:$T$98,18))*X66), 0)))</f>
        <v/>
      </c>
    </row>
    <row r="67" spans="16:25" x14ac:dyDescent="0.25">
      <c r="P67" s="108" t="str">
        <f ca="1">IF($Q67="","",COUNT($Q$9:$Q67))</f>
        <v/>
      </c>
      <c r="Q67" s="111" t="str">
        <f ca="1">IF($Q66="","",IF($Q66&lt;EDATE(DataValidation!$I$13,$E$19-1),EDATE($Q66,1),""))</f>
        <v/>
      </c>
      <c r="R67" s="98"/>
      <c r="S67" s="173" t="str">
        <f ca="1">IF(Q67="","",(VLOOKUP($Q67,Calculator!$D$15:$L$98,9)+SUM(DataValidation!$I$16:$I$17)/$E$19))</f>
        <v/>
      </c>
      <c r="T67" s="113" t="str">
        <f t="shared" ca="1" si="1"/>
        <v/>
      </c>
      <c r="U67" s="116"/>
      <c r="V67" s="113" t="str">
        <f ca="1">IF(P67="","",'Vols - Forward Curve'!P60)</f>
        <v/>
      </c>
      <c r="W67" s="113" t="str">
        <f ca="1">IF(V67="","",IF(strikeType=DataValidation!$C$2,strike,IF(strikeType=DataValidation!$C$3,IF(ROWS($W$9:W67)&lt;=12,StepUp1,IF(ROWS($W$9:W67)&lt;=24,StepUp2,IF(ROWS($W$9:W67)&lt;=36,StepUp3,IF(ROWS($W$9:W67)&lt;=48,StepUp4,IF(ROWS($W$9:W67)&lt;=60,StepUp5,IF(ROWS($W$9:W67)&lt;=72,StepUp6,IF(ROWS($W$9:W67)&lt;=84,StepUp7,0))))))))))</f>
        <v/>
      </c>
      <c r="X67" s="101" t="str">
        <f ca="1">IF(V67="","",IF(AND(strikeType=DataValidation!$C$2,V67&gt;strike),('Cap Pricer'!V67-strike)*notional*((Volatilities_Resets!D62-Volatilities_Resets!C62)/360),IF(AND(strikeType=DataValidation!$C$3,V67&gt;W67),(V67-W67)*notional*((Volatilities_Resets!D62-Volatilities_Resets!C62)/360),0)))</f>
        <v/>
      </c>
      <c r="Y67" s="101" t="str">
        <f ca="1">IF(P67="","",(IF(X67&gt;0, ((VLOOKUP('Cap Pricer'!$P67,Calculator!$C$15:$T$98,18))*X67), 0)))</f>
        <v/>
      </c>
    </row>
    <row r="68" spans="16:25" x14ac:dyDescent="0.25">
      <c r="P68" s="108" t="str">
        <f ca="1">IF($Q68="","",COUNT($Q$9:$Q68))</f>
        <v/>
      </c>
      <c r="Q68" s="111" t="str">
        <f ca="1">IF($Q67="","",IF($Q67&lt;EDATE(DataValidation!$I$13,$E$19-1),EDATE($Q67,1),""))</f>
        <v/>
      </c>
      <c r="R68" s="98"/>
      <c r="S68" s="173" t="str">
        <f ca="1">IF(Q68="","",(VLOOKUP($Q68,Calculator!$D$15:$L$98,9)+SUM(DataValidation!$I$16:$I$17)/$E$19))</f>
        <v/>
      </c>
      <c r="T68" s="113" t="str">
        <f t="shared" ca="1" si="1"/>
        <v/>
      </c>
      <c r="U68" s="116"/>
      <c r="V68" s="113" t="str">
        <f ca="1">IF(P68="","",'Vols - Forward Curve'!P61)</f>
        <v/>
      </c>
      <c r="W68" s="113" t="str">
        <f ca="1">IF(V68="","",IF(strikeType=DataValidation!$C$2,strike,IF(strikeType=DataValidation!$C$3,IF(ROWS($W$9:W68)&lt;=12,StepUp1,IF(ROWS($W$9:W68)&lt;=24,StepUp2,IF(ROWS($W$9:W68)&lt;=36,StepUp3,IF(ROWS($W$9:W68)&lt;=48,StepUp4,IF(ROWS($W$9:W68)&lt;=60,StepUp5,IF(ROWS($W$9:W68)&lt;=72,StepUp6,IF(ROWS($W$9:W68)&lt;=84,StepUp7,0))))))))))</f>
        <v/>
      </c>
      <c r="X68" s="101" t="str">
        <f ca="1">IF(V68="","",IF(AND(strikeType=DataValidation!$C$2,V68&gt;strike),('Cap Pricer'!V68-strike)*notional*((Volatilities_Resets!D63-Volatilities_Resets!C63)/360),IF(AND(strikeType=DataValidation!$C$3,V68&gt;W68),(V68-W68)*notional*((Volatilities_Resets!D63-Volatilities_Resets!C63)/360),0)))</f>
        <v/>
      </c>
      <c r="Y68" s="101" t="str">
        <f ca="1">IF(P68="","",(IF(X68&gt;0, ((VLOOKUP('Cap Pricer'!$P68,Calculator!$C$15:$T$98,18))*X68), 0)))</f>
        <v/>
      </c>
    </row>
    <row r="69" spans="16:25" x14ac:dyDescent="0.25">
      <c r="P69" s="108" t="str">
        <f ca="1">IF($Q69="","",COUNT($Q$9:$Q69))</f>
        <v/>
      </c>
      <c r="Q69" s="111" t="str">
        <f ca="1">IF($Q68="","",IF($Q68&lt;EDATE(DataValidation!$I$13,$E$19-1),EDATE($Q68,1),""))</f>
        <v/>
      </c>
      <c r="R69" s="98"/>
      <c r="S69" s="173" t="str">
        <f ca="1">IF(Q69="","",(VLOOKUP($Q69,Calculator!$D$15:$L$98,9)+SUM(DataValidation!$I$16:$I$17)/$E$19))</f>
        <v/>
      </c>
      <c r="T69" s="113" t="str">
        <f t="shared" ca="1" si="1"/>
        <v/>
      </c>
      <c r="U69" s="116"/>
      <c r="V69" s="113" t="str">
        <f ca="1">IF(P69="","",'Vols - Forward Curve'!P62)</f>
        <v/>
      </c>
      <c r="W69" s="113" t="str">
        <f ca="1">IF(V69="","",IF(strikeType=DataValidation!$C$2,strike,IF(strikeType=DataValidation!$C$3,IF(ROWS($W$9:W69)&lt;=12,StepUp1,IF(ROWS($W$9:W69)&lt;=24,StepUp2,IF(ROWS($W$9:W69)&lt;=36,StepUp3,IF(ROWS($W$9:W69)&lt;=48,StepUp4,IF(ROWS($W$9:W69)&lt;=60,StepUp5,IF(ROWS($W$9:W69)&lt;=72,StepUp6,IF(ROWS($W$9:W69)&lt;=84,StepUp7,0))))))))))</f>
        <v/>
      </c>
      <c r="X69" s="101" t="str">
        <f ca="1">IF(V69="","",IF(AND(strikeType=DataValidation!$C$2,V69&gt;strike),('Cap Pricer'!V69-strike)*notional*((Volatilities_Resets!D64-Volatilities_Resets!C64)/360),IF(AND(strikeType=DataValidation!$C$3,V69&gt;W69),(V69-W69)*notional*((Volatilities_Resets!D64-Volatilities_Resets!C64)/360),0)))</f>
        <v/>
      </c>
      <c r="Y69" s="101" t="str">
        <f ca="1">IF(P69="","",(IF(X69&gt;0, ((VLOOKUP('Cap Pricer'!$P69,Calculator!$C$15:$T$98,18))*X69), 0)))</f>
        <v/>
      </c>
    </row>
    <row r="70" spans="16:25" x14ac:dyDescent="0.25">
      <c r="P70" s="108" t="str">
        <f ca="1">IF($Q70="","",COUNT($Q$9:$Q70))</f>
        <v/>
      </c>
      <c r="Q70" s="111" t="str">
        <f ca="1">IF($Q69="","",IF($Q69&lt;EDATE(DataValidation!$I$13,$E$19-1),EDATE($Q69,1),""))</f>
        <v/>
      </c>
      <c r="R70" s="98"/>
      <c r="S70" s="173" t="str">
        <f ca="1">IF(Q70="","",(VLOOKUP($Q70,Calculator!$D$15:$L$98,9)+SUM(DataValidation!$I$16:$I$17)/$E$19))</f>
        <v/>
      </c>
      <c r="T70" s="113" t="str">
        <f t="shared" ca="1" si="1"/>
        <v/>
      </c>
      <c r="U70" s="116"/>
      <c r="V70" s="113" t="str">
        <f ca="1">IF(P70="","",'Vols - Forward Curve'!P63)</f>
        <v/>
      </c>
      <c r="W70" s="113" t="str">
        <f ca="1">IF(V70="","",IF(strikeType=DataValidation!$C$2,strike,IF(strikeType=DataValidation!$C$3,IF(ROWS($W$9:W70)&lt;=12,StepUp1,IF(ROWS($W$9:W70)&lt;=24,StepUp2,IF(ROWS($W$9:W70)&lt;=36,StepUp3,IF(ROWS($W$9:W70)&lt;=48,StepUp4,IF(ROWS($W$9:W70)&lt;=60,StepUp5,IF(ROWS($W$9:W70)&lt;=72,StepUp6,IF(ROWS($W$9:W70)&lt;=84,StepUp7,0))))))))))</f>
        <v/>
      </c>
      <c r="X70" s="101" t="str">
        <f ca="1">IF(V70="","",IF(AND(strikeType=DataValidation!$C$2,V70&gt;strike),('Cap Pricer'!V70-strike)*notional*((Volatilities_Resets!D65-Volatilities_Resets!C65)/360),IF(AND(strikeType=DataValidation!$C$3,V70&gt;W70),(V70-W70)*notional*((Volatilities_Resets!D65-Volatilities_Resets!C65)/360),0)))</f>
        <v/>
      </c>
      <c r="Y70" s="101" t="str">
        <f ca="1">IF(P70="","",(IF(X70&gt;0, ((VLOOKUP('Cap Pricer'!$P70,Calculator!$C$15:$T$98,18))*X70), 0)))</f>
        <v/>
      </c>
    </row>
    <row r="71" spans="16:25" x14ac:dyDescent="0.25">
      <c r="P71" s="108" t="str">
        <f ca="1">IF($Q71="","",COUNT($Q$9:$Q71))</f>
        <v/>
      </c>
      <c r="Q71" s="111" t="str">
        <f ca="1">IF($Q70="","",IF($Q70&lt;EDATE(DataValidation!$I$13,$E$19-1),EDATE($Q70,1),""))</f>
        <v/>
      </c>
      <c r="R71" s="98"/>
      <c r="S71" s="173" t="str">
        <f ca="1">IF(Q71="","",(VLOOKUP($Q71,Calculator!$D$15:$L$98,9)+SUM(DataValidation!$I$16:$I$17)/$E$19))</f>
        <v/>
      </c>
      <c r="T71" s="113" t="str">
        <f t="shared" ca="1" si="1"/>
        <v/>
      </c>
      <c r="U71" s="116"/>
      <c r="V71" s="113" t="str">
        <f ca="1">IF(P71="","",'Vols - Forward Curve'!P64)</f>
        <v/>
      </c>
      <c r="W71" s="113" t="str">
        <f ca="1">IF(V71="","",IF(strikeType=DataValidation!$C$2,strike,IF(strikeType=DataValidation!$C$3,IF(ROWS($W$9:W71)&lt;=12,StepUp1,IF(ROWS($W$9:W71)&lt;=24,StepUp2,IF(ROWS($W$9:W71)&lt;=36,StepUp3,IF(ROWS($W$9:W71)&lt;=48,StepUp4,IF(ROWS($W$9:W71)&lt;=60,StepUp5,IF(ROWS($W$9:W71)&lt;=72,StepUp6,IF(ROWS($W$9:W71)&lt;=84,StepUp7,0))))))))))</f>
        <v/>
      </c>
      <c r="X71" s="101" t="str">
        <f ca="1">IF(V71="","",IF(AND(strikeType=DataValidation!$C$2,V71&gt;strike),('Cap Pricer'!V71-strike)*notional*((Volatilities_Resets!D66-Volatilities_Resets!C66)/360),IF(AND(strikeType=DataValidation!$C$3,V71&gt;W71),(V71-W71)*notional*((Volatilities_Resets!D66-Volatilities_Resets!C66)/360),0)))</f>
        <v/>
      </c>
      <c r="Y71" s="101" t="str">
        <f ca="1">IF(P71="","",(IF(X71&gt;0, ((VLOOKUP('Cap Pricer'!$P71,Calculator!$C$15:$T$98,18))*X71), 0)))</f>
        <v/>
      </c>
    </row>
    <row r="72" spans="16:25" x14ac:dyDescent="0.25">
      <c r="P72" s="108" t="str">
        <f ca="1">IF($Q72="","",COUNT($Q$9:$Q72))</f>
        <v/>
      </c>
      <c r="Q72" s="111" t="str">
        <f ca="1">IF($Q71="","",IF($Q71&lt;EDATE(DataValidation!$I$13,$E$19-1),EDATE($Q71,1),""))</f>
        <v/>
      </c>
      <c r="R72" s="98"/>
      <c r="S72" s="173" t="str">
        <f ca="1">IF(Q72="","",(VLOOKUP($Q72,Calculator!$D$15:$L$98,9)+SUM(DataValidation!$I$16:$I$17)/$E$19))</f>
        <v/>
      </c>
      <c r="T72" s="113" t="str">
        <f t="shared" ca="1" si="1"/>
        <v/>
      </c>
      <c r="U72" s="116"/>
      <c r="V72" s="113" t="str">
        <f ca="1">IF(P72="","",'Vols - Forward Curve'!P65)</f>
        <v/>
      </c>
      <c r="W72" s="113" t="str">
        <f ca="1">IF(V72="","",IF(strikeType=DataValidation!$C$2,strike,IF(strikeType=DataValidation!$C$3,IF(ROWS($W$9:W72)&lt;=12,StepUp1,IF(ROWS($W$9:W72)&lt;=24,StepUp2,IF(ROWS($W$9:W72)&lt;=36,StepUp3,IF(ROWS($W$9:W72)&lt;=48,StepUp4,IF(ROWS($W$9:W72)&lt;=60,StepUp5,IF(ROWS($W$9:W72)&lt;=72,StepUp6,IF(ROWS($W$9:W72)&lt;=84,StepUp7,0))))))))))</f>
        <v/>
      </c>
      <c r="X72" s="101" t="str">
        <f ca="1">IF(V72="","",IF(AND(strikeType=DataValidation!$C$2,V72&gt;strike),('Cap Pricer'!V72-strike)*notional*((Volatilities_Resets!D67-Volatilities_Resets!C67)/360),IF(AND(strikeType=DataValidation!$C$3,V72&gt;W72),(V72-W72)*notional*((Volatilities_Resets!D67-Volatilities_Resets!C67)/360),0)))</f>
        <v/>
      </c>
      <c r="Y72" s="101" t="str">
        <f ca="1">IF(P72="","",(IF(X72&gt;0, ((VLOOKUP('Cap Pricer'!$P72,Calculator!$C$15:$T$98,18))*X72), 0)))</f>
        <v/>
      </c>
    </row>
    <row r="73" spans="16:25" x14ac:dyDescent="0.25">
      <c r="P73" s="108" t="str">
        <f ca="1">IF($Q73="","",COUNT($Q$9:$Q73))</f>
        <v/>
      </c>
      <c r="Q73" s="111" t="str">
        <f ca="1">IF($Q72="","",IF($Q72&lt;EDATE(DataValidation!$I$13,$E$19-1),EDATE($Q72,1),""))</f>
        <v/>
      </c>
      <c r="R73" s="98"/>
      <c r="S73" s="173" t="str">
        <f ca="1">IF(Q73="","",(VLOOKUP($Q73,Calculator!$D$15:$L$98,9)+SUM(DataValidation!$I$16:$I$17)/$E$19))</f>
        <v/>
      </c>
      <c r="T73" s="113" t="str">
        <f t="shared" ref="T73:T92" ca="1" si="2">IF(Q73="","",$S73/SUM($S$9:$S$92))</f>
        <v/>
      </c>
      <c r="U73" s="116"/>
      <c r="V73" s="113" t="str">
        <f ca="1">IF(P73="","",'Vols - Forward Curve'!P66)</f>
        <v/>
      </c>
      <c r="W73" s="113" t="str">
        <f ca="1">IF(V73="","",IF(strikeType=DataValidation!$C$2,strike,IF(strikeType=DataValidation!$C$3,IF(ROWS($W$9:W73)&lt;=12,StepUp1,IF(ROWS($W$9:W73)&lt;=24,StepUp2,IF(ROWS($W$9:W73)&lt;=36,StepUp3,IF(ROWS($W$9:W73)&lt;=48,StepUp4,IF(ROWS($W$9:W73)&lt;=60,StepUp5,IF(ROWS($W$9:W73)&lt;=72,StepUp6,IF(ROWS($W$9:W73)&lt;=84,StepUp7,0))))))))))</f>
        <v/>
      </c>
      <c r="X73" s="101" t="str">
        <f ca="1">IF(V73="","",IF(AND(strikeType=DataValidation!$C$2,V73&gt;strike),('Cap Pricer'!V73-strike)*notional*((Volatilities_Resets!D68-Volatilities_Resets!C68)/360),IF(AND(strikeType=DataValidation!$C$3,V73&gt;W73),(V73-W73)*notional*((Volatilities_Resets!D68-Volatilities_Resets!C68)/360),0)))</f>
        <v/>
      </c>
      <c r="Y73" s="101" t="str">
        <f ca="1">IF(P73="","",(IF(X73&gt;0, ((VLOOKUP('Cap Pricer'!$P73,Calculator!$C$15:$T$98,18))*X73), 0)))</f>
        <v/>
      </c>
    </row>
    <row r="74" spans="16:25" x14ac:dyDescent="0.25">
      <c r="P74" s="108" t="str">
        <f ca="1">IF($Q74="","",COUNT($Q$9:$Q74))</f>
        <v/>
      </c>
      <c r="Q74" s="111" t="str">
        <f ca="1">IF($Q73="","",IF($Q73&lt;EDATE(DataValidation!$I$13,$E$19-1),EDATE($Q73,1),""))</f>
        <v/>
      </c>
      <c r="R74" s="98"/>
      <c r="S74" s="173" t="str">
        <f ca="1">IF(Q74="","",(VLOOKUP($Q74,Calculator!$D$15:$L$98,9)+SUM(DataValidation!$I$16:$I$17)/$E$19))</f>
        <v/>
      </c>
      <c r="T74" s="113" t="str">
        <f t="shared" ca="1" si="2"/>
        <v/>
      </c>
      <c r="U74" s="116"/>
      <c r="V74" s="113" t="str">
        <f ca="1">IF(P74="","",'Vols - Forward Curve'!P67)</f>
        <v/>
      </c>
      <c r="W74" s="113" t="str">
        <f ca="1">IF(V74="","",IF(strikeType=DataValidation!$C$2,strike,IF(strikeType=DataValidation!$C$3,IF(ROWS($W$9:W74)&lt;=12,StepUp1,IF(ROWS($W$9:W74)&lt;=24,StepUp2,IF(ROWS($W$9:W74)&lt;=36,StepUp3,IF(ROWS($W$9:W74)&lt;=48,StepUp4,IF(ROWS($W$9:W74)&lt;=60,StepUp5,IF(ROWS($W$9:W74)&lt;=72,StepUp6,IF(ROWS($W$9:W74)&lt;=84,StepUp7,0))))))))))</f>
        <v/>
      </c>
      <c r="X74" s="101" t="str">
        <f ca="1">IF(V74="","",IF(AND(strikeType=DataValidation!$C$2,V74&gt;strike),('Cap Pricer'!V74-strike)*notional*((Volatilities_Resets!D69-Volatilities_Resets!C69)/360),IF(AND(strikeType=DataValidation!$C$3,V74&gt;W74),(V74-W74)*notional*((Volatilities_Resets!D69-Volatilities_Resets!C69)/360),0)))</f>
        <v/>
      </c>
      <c r="Y74" s="101" t="str">
        <f ca="1">IF(P74="","",(IF(X74&gt;0, ((VLOOKUP('Cap Pricer'!$P74,Calculator!$C$15:$T$98,18))*X74), 0)))</f>
        <v/>
      </c>
    </row>
    <row r="75" spans="16:25" x14ac:dyDescent="0.25">
      <c r="P75" s="108" t="str">
        <f ca="1">IF($Q75="","",COUNT($Q$9:$Q75))</f>
        <v/>
      </c>
      <c r="Q75" s="111" t="str">
        <f ca="1">IF($Q74="","",IF($Q74&lt;EDATE(DataValidation!$I$13,$E$19-1),EDATE($Q74,1),""))</f>
        <v/>
      </c>
      <c r="R75" s="98"/>
      <c r="S75" s="173" t="str">
        <f ca="1">IF(Q75="","",(VLOOKUP($Q75,Calculator!$D$15:$L$98,9)+SUM(DataValidation!$I$16:$I$17)/$E$19))</f>
        <v/>
      </c>
      <c r="T75" s="113" t="str">
        <f t="shared" ca="1" si="2"/>
        <v/>
      </c>
      <c r="U75" s="116"/>
      <c r="V75" s="113" t="str">
        <f ca="1">IF(P75="","",'Vols - Forward Curve'!P68)</f>
        <v/>
      </c>
      <c r="W75" s="113" t="str">
        <f ca="1">IF(V75="","",IF(strikeType=DataValidation!$C$2,strike,IF(strikeType=DataValidation!$C$3,IF(ROWS($W$9:W75)&lt;=12,StepUp1,IF(ROWS($W$9:W75)&lt;=24,StepUp2,IF(ROWS($W$9:W75)&lt;=36,StepUp3,IF(ROWS($W$9:W75)&lt;=48,StepUp4,IF(ROWS($W$9:W75)&lt;=60,StepUp5,IF(ROWS($W$9:W75)&lt;=72,StepUp6,IF(ROWS($W$9:W75)&lt;=84,StepUp7,0))))))))))</f>
        <v/>
      </c>
      <c r="X75" s="101" t="str">
        <f ca="1">IF(V75="","",IF(AND(strikeType=DataValidation!$C$2,V75&gt;strike),('Cap Pricer'!V75-strike)*notional*((Volatilities_Resets!D70-Volatilities_Resets!C70)/360),IF(AND(strikeType=DataValidation!$C$3,V75&gt;W75),(V75-W75)*notional*((Volatilities_Resets!D70-Volatilities_Resets!C70)/360),0)))</f>
        <v/>
      </c>
      <c r="Y75" s="101" t="str">
        <f ca="1">IF(P75="","",(IF(X75&gt;0, ((VLOOKUP('Cap Pricer'!$P75,Calculator!$C$15:$T$98,18))*X75), 0)))</f>
        <v/>
      </c>
    </row>
    <row r="76" spans="16:25" x14ac:dyDescent="0.25">
      <c r="P76" s="108" t="str">
        <f ca="1">IF($Q76="","",COUNT($Q$9:$Q76))</f>
        <v/>
      </c>
      <c r="Q76" s="111" t="str">
        <f ca="1">IF($Q75="","",IF($Q75&lt;EDATE(DataValidation!$I$13,$E$19-1),EDATE($Q75,1),""))</f>
        <v/>
      </c>
      <c r="R76" s="98"/>
      <c r="S76" s="173" t="str">
        <f ca="1">IF(Q76="","",(VLOOKUP($Q76,Calculator!$D$15:$L$98,9)+SUM(DataValidation!$I$16:$I$17)/$E$19))</f>
        <v/>
      </c>
      <c r="T76" s="113" t="str">
        <f t="shared" ca="1" si="2"/>
        <v/>
      </c>
      <c r="U76" s="116"/>
      <c r="V76" s="113" t="str">
        <f ca="1">IF(P76="","",'Vols - Forward Curve'!P69)</f>
        <v/>
      </c>
      <c r="W76" s="113" t="str">
        <f ca="1">IF(V76="","",IF(strikeType=DataValidation!$C$2,strike,IF(strikeType=DataValidation!$C$3,IF(ROWS($W$9:W76)&lt;=12,StepUp1,IF(ROWS($W$9:W76)&lt;=24,StepUp2,IF(ROWS($W$9:W76)&lt;=36,StepUp3,IF(ROWS($W$9:W76)&lt;=48,StepUp4,IF(ROWS($W$9:W76)&lt;=60,StepUp5,IF(ROWS($W$9:W76)&lt;=72,StepUp6,IF(ROWS($W$9:W76)&lt;=84,StepUp7,0))))))))))</f>
        <v/>
      </c>
      <c r="X76" s="101" t="str">
        <f ca="1">IF(V76="","",IF(AND(strikeType=DataValidation!$C$2,V76&gt;strike),('Cap Pricer'!V76-strike)*notional*((Volatilities_Resets!D71-Volatilities_Resets!C71)/360),IF(AND(strikeType=DataValidation!$C$3,V76&gt;W76),(V76-W76)*notional*((Volatilities_Resets!D71-Volatilities_Resets!C71)/360),0)))</f>
        <v/>
      </c>
      <c r="Y76" s="101" t="str">
        <f ca="1">IF(P76="","",(IF(X76&gt;0, ((VLOOKUP('Cap Pricer'!$P76,Calculator!$C$15:$T$98,18))*X76), 0)))</f>
        <v/>
      </c>
    </row>
    <row r="77" spans="16:25" x14ac:dyDescent="0.25">
      <c r="P77" s="108" t="str">
        <f ca="1">IF($Q77="","",COUNT($Q$9:$Q77))</f>
        <v/>
      </c>
      <c r="Q77" s="111" t="str">
        <f ca="1">IF($Q76="","",IF($Q76&lt;EDATE(DataValidation!$I$13,$E$19-1),EDATE($Q76,1),""))</f>
        <v/>
      </c>
      <c r="R77" s="98"/>
      <c r="S77" s="173" t="str">
        <f ca="1">IF(Q77="","",(VLOOKUP($Q77,Calculator!$D$15:$L$98,9)+SUM(DataValidation!$I$16:$I$17)/$E$19))</f>
        <v/>
      </c>
      <c r="T77" s="113" t="str">
        <f t="shared" ca="1" si="2"/>
        <v/>
      </c>
      <c r="U77" s="116"/>
      <c r="V77" s="113" t="str">
        <f ca="1">IF(P77="","",'Vols - Forward Curve'!P70)</f>
        <v/>
      </c>
      <c r="W77" s="113" t="str">
        <f ca="1">IF(V77="","",IF(strikeType=DataValidation!$C$2,strike,IF(strikeType=DataValidation!$C$3,IF(ROWS($W$9:W77)&lt;=12,StepUp1,IF(ROWS($W$9:W77)&lt;=24,StepUp2,IF(ROWS($W$9:W77)&lt;=36,StepUp3,IF(ROWS($W$9:W77)&lt;=48,StepUp4,IF(ROWS($W$9:W77)&lt;=60,StepUp5,IF(ROWS($W$9:W77)&lt;=72,StepUp6,IF(ROWS($W$9:W77)&lt;=84,StepUp7,0))))))))))</f>
        <v/>
      </c>
      <c r="X77" s="101" t="str">
        <f ca="1">IF(V77="","",IF(AND(strikeType=DataValidation!$C$2,V77&gt;strike),('Cap Pricer'!V77-strike)*notional*((Volatilities_Resets!D72-Volatilities_Resets!C72)/360),IF(AND(strikeType=DataValidation!$C$3,V77&gt;W77),(V77-W77)*notional*((Volatilities_Resets!D72-Volatilities_Resets!C72)/360),0)))</f>
        <v/>
      </c>
      <c r="Y77" s="101" t="str">
        <f ca="1">IF(P77="","",(IF(X77&gt;0, ((VLOOKUP('Cap Pricer'!$P77,Calculator!$C$15:$T$98,18))*X77), 0)))</f>
        <v/>
      </c>
    </row>
    <row r="78" spans="16:25" x14ac:dyDescent="0.25">
      <c r="P78" s="108" t="str">
        <f ca="1">IF($Q78="","",COUNT($Q$9:$Q78))</f>
        <v/>
      </c>
      <c r="Q78" s="111" t="str">
        <f ca="1">IF($Q77="","",IF($Q77&lt;EDATE(DataValidation!$I$13,$E$19-1),EDATE($Q77,1),""))</f>
        <v/>
      </c>
      <c r="R78" s="98"/>
      <c r="S78" s="173" t="str">
        <f ca="1">IF(Q78="","",(VLOOKUP($Q78,Calculator!$D$15:$L$98,9)+SUM(DataValidation!$I$16:$I$17)/$E$19))</f>
        <v/>
      </c>
      <c r="T78" s="113" t="str">
        <f t="shared" ca="1" si="2"/>
        <v/>
      </c>
      <c r="U78" s="116"/>
      <c r="V78" s="113" t="str">
        <f ca="1">IF(P78="","",'Vols - Forward Curve'!P71)</f>
        <v/>
      </c>
      <c r="W78" s="113" t="str">
        <f ca="1">IF(V78="","",IF(strikeType=DataValidation!$C$2,strike,IF(strikeType=DataValidation!$C$3,IF(ROWS($W$9:W78)&lt;=12,StepUp1,IF(ROWS($W$9:W78)&lt;=24,StepUp2,IF(ROWS($W$9:W78)&lt;=36,StepUp3,IF(ROWS($W$9:W78)&lt;=48,StepUp4,IF(ROWS($W$9:W78)&lt;=60,StepUp5,IF(ROWS($W$9:W78)&lt;=72,StepUp6,IF(ROWS($W$9:W78)&lt;=84,StepUp7,0))))))))))</f>
        <v/>
      </c>
      <c r="X78" s="101" t="str">
        <f ca="1">IF(V78="","",IF(AND(strikeType=DataValidation!$C$2,V78&gt;strike),('Cap Pricer'!V78-strike)*notional*((Volatilities_Resets!D73-Volatilities_Resets!C73)/360),IF(AND(strikeType=DataValidation!$C$3,V78&gt;W78),(V78-W78)*notional*((Volatilities_Resets!D73-Volatilities_Resets!C73)/360),0)))</f>
        <v/>
      </c>
      <c r="Y78" s="101" t="str">
        <f ca="1">IF(P78="","",(IF(X78&gt;0, ((VLOOKUP('Cap Pricer'!$P78,Calculator!$C$15:$T$98,18))*X78), 0)))</f>
        <v/>
      </c>
    </row>
    <row r="79" spans="16:25" x14ac:dyDescent="0.25">
      <c r="P79" s="108" t="str">
        <f ca="1">IF($Q79="","",COUNT($Q$9:$Q79))</f>
        <v/>
      </c>
      <c r="Q79" s="111" t="str">
        <f ca="1">IF($Q78="","",IF($Q78&lt;EDATE(DataValidation!$I$13,$E$19-1),EDATE($Q78,1),""))</f>
        <v/>
      </c>
      <c r="R79" s="98"/>
      <c r="S79" s="173" t="str">
        <f ca="1">IF(Q79="","",(VLOOKUP($Q79,Calculator!$D$15:$L$98,9)+SUM(DataValidation!$I$16:$I$17)/$E$19))</f>
        <v/>
      </c>
      <c r="T79" s="113" t="str">
        <f t="shared" ca="1" si="2"/>
        <v/>
      </c>
      <c r="U79" s="116"/>
      <c r="V79" s="113" t="str">
        <f ca="1">IF(P79="","",'Vols - Forward Curve'!P72)</f>
        <v/>
      </c>
      <c r="W79" s="113" t="str">
        <f ca="1">IF(V79="","",IF(strikeType=DataValidation!$C$2,strike,IF(strikeType=DataValidation!$C$3,IF(ROWS($W$9:W79)&lt;=12,StepUp1,IF(ROWS($W$9:W79)&lt;=24,StepUp2,IF(ROWS($W$9:W79)&lt;=36,StepUp3,IF(ROWS($W$9:W79)&lt;=48,StepUp4,IF(ROWS($W$9:W79)&lt;=60,StepUp5,IF(ROWS($W$9:W79)&lt;=72,StepUp6,IF(ROWS($W$9:W79)&lt;=84,StepUp7,0))))))))))</f>
        <v/>
      </c>
      <c r="X79" s="101" t="str">
        <f ca="1">IF(V79="","",IF(AND(strikeType=DataValidation!$C$2,V79&gt;strike),('Cap Pricer'!V79-strike)*notional*((Volatilities_Resets!D74-Volatilities_Resets!C74)/360),IF(AND(strikeType=DataValidation!$C$3,V79&gt;W79),(V79-W79)*notional*((Volatilities_Resets!D74-Volatilities_Resets!C74)/360),0)))</f>
        <v/>
      </c>
      <c r="Y79" s="101" t="str">
        <f ca="1">IF(P79="","",(IF(X79&gt;0, ((VLOOKUP('Cap Pricer'!$P79,Calculator!$C$15:$T$98,18))*X79), 0)))</f>
        <v/>
      </c>
    </row>
    <row r="80" spans="16:25" x14ac:dyDescent="0.25">
      <c r="P80" s="108" t="str">
        <f ca="1">IF($Q80="","",COUNT($Q$9:$Q80))</f>
        <v/>
      </c>
      <c r="Q80" s="111" t="str">
        <f ca="1">IF($Q79="","",IF($Q79&lt;EDATE(DataValidation!$I$13,$E$19-1),EDATE($Q79,1),""))</f>
        <v/>
      </c>
      <c r="R80" s="98"/>
      <c r="S80" s="173" t="str">
        <f ca="1">IF(Q80="","",(VLOOKUP($Q80,Calculator!$D$15:$L$98,9)+SUM(DataValidation!$I$16:$I$17)/$E$19))</f>
        <v/>
      </c>
      <c r="T80" s="113" t="str">
        <f t="shared" ca="1" si="2"/>
        <v/>
      </c>
      <c r="U80" s="116"/>
      <c r="V80" s="113" t="str">
        <f ca="1">IF(P80="","",'Vols - Forward Curve'!P73)</f>
        <v/>
      </c>
      <c r="W80" s="113" t="str">
        <f ca="1">IF(V80="","",IF(strikeType=DataValidation!$C$2,strike,IF(strikeType=DataValidation!$C$3,IF(ROWS($W$9:W80)&lt;=12,StepUp1,IF(ROWS($W$9:W80)&lt;=24,StepUp2,IF(ROWS($W$9:W80)&lt;=36,StepUp3,IF(ROWS($W$9:W80)&lt;=48,StepUp4,IF(ROWS($W$9:W80)&lt;=60,StepUp5,IF(ROWS($W$9:W80)&lt;=72,StepUp6,IF(ROWS($W$9:W80)&lt;=84,StepUp7,0))))))))))</f>
        <v/>
      </c>
      <c r="X80" s="101" t="str">
        <f ca="1">IF(V80="","",IF(AND(strikeType=DataValidation!$C$2,V80&gt;strike),('Cap Pricer'!V80-strike)*notional*((Volatilities_Resets!D75-Volatilities_Resets!C75)/360),IF(AND(strikeType=DataValidation!$C$3,V80&gt;W80),(V80-W80)*notional*((Volatilities_Resets!D75-Volatilities_Resets!C75)/360),0)))</f>
        <v/>
      </c>
      <c r="Y80" s="101" t="str">
        <f ca="1">IF(P80="","",(IF(X80&gt;0, ((VLOOKUP('Cap Pricer'!$P80,Calculator!$C$15:$T$98,18))*X80), 0)))</f>
        <v/>
      </c>
    </row>
    <row r="81" spans="16:25" x14ac:dyDescent="0.25">
      <c r="P81" s="108" t="str">
        <f ca="1">IF($Q81="","",COUNT($Q$9:$Q81))</f>
        <v/>
      </c>
      <c r="Q81" s="111" t="str">
        <f ca="1">IF($Q80="","",IF($Q80&lt;EDATE(DataValidation!$I$13,$E$19-1),EDATE($Q80,1),""))</f>
        <v/>
      </c>
      <c r="R81" s="98"/>
      <c r="S81" s="173" t="str">
        <f ca="1">IF(Q81="","",(VLOOKUP($Q81,Calculator!$D$15:$L$98,9)+SUM(DataValidation!$I$16:$I$17)/$E$19))</f>
        <v/>
      </c>
      <c r="T81" s="113" t="str">
        <f t="shared" ca="1" si="2"/>
        <v/>
      </c>
      <c r="U81" s="116"/>
      <c r="V81" s="113" t="str">
        <f ca="1">IF(P81="","",'Vols - Forward Curve'!P74)</f>
        <v/>
      </c>
      <c r="W81" s="113" t="str">
        <f ca="1">IF(V81="","",IF(strikeType=DataValidation!$C$2,strike,IF(strikeType=DataValidation!$C$3,IF(ROWS($W$9:W81)&lt;=12,StepUp1,IF(ROWS($W$9:W81)&lt;=24,StepUp2,IF(ROWS($W$9:W81)&lt;=36,StepUp3,IF(ROWS($W$9:W81)&lt;=48,StepUp4,IF(ROWS($W$9:W81)&lt;=60,StepUp5,IF(ROWS($W$9:W81)&lt;=72,StepUp6,IF(ROWS($W$9:W81)&lt;=84,StepUp7,0))))))))))</f>
        <v/>
      </c>
      <c r="X81" s="101" t="str">
        <f ca="1">IF(V81="","",IF(AND(strikeType=DataValidation!$C$2,V81&gt;strike),('Cap Pricer'!V81-strike)*notional*((Volatilities_Resets!D76-Volatilities_Resets!C76)/360),IF(AND(strikeType=DataValidation!$C$3,V81&gt;W81),(V81-W81)*notional*((Volatilities_Resets!D76-Volatilities_Resets!C76)/360),0)))</f>
        <v/>
      </c>
      <c r="Y81" s="101" t="str">
        <f ca="1">IF(P81="","",(IF(X81&gt;0, ((VLOOKUP('Cap Pricer'!$P81,Calculator!$C$15:$T$98,18))*X81), 0)))</f>
        <v/>
      </c>
    </row>
    <row r="82" spans="16:25" x14ac:dyDescent="0.25">
      <c r="P82" s="108" t="str">
        <f ca="1">IF($Q82="","",COUNT($Q$9:$Q82))</f>
        <v/>
      </c>
      <c r="Q82" s="111" t="str">
        <f ca="1">IF($Q81="","",IF($Q81&lt;EDATE(DataValidation!$I$13,$E$19-1),EDATE($Q81,1),""))</f>
        <v/>
      </c>
      <c r="R82" s="98"/>
      <c r="S82" s="173" t="str">
        <f ca="1">IF(Q82="","",(VLOOKUP($Q82,Calculator!$D$15:$L$98,9)+SUM(DataValidation!$I$16:$I$17)/$E$19))</f>
        <v/>
      </c>
      <c r="T82" s="113" t="str">
        <f t="shared" ca="1" si="2"/>
        <v/>
      </c>
      <c r="U82" s="116"/>
      <c r="V82" s="113" t="str">
        <f ca="1">IF(P82="","",'Vols - Forward Curve'!P75)</f>
        <v/>
      </c>
      <c r="W82" s="113" t="str">
        <f ca="1">IF(V82="","",IF(strikeType=DataValidation!$C$2,strike,IF(strikeType=DataValidation!$C$3,IF(ROWS($W$9:W82)&lt;=12,StepUp1,IF(ROWS($W$9:W82)&lt;=24,StepUp2,IF(ROWS($W$9:W82)&lt;=36,StepUp3,IF(ROWS($W$9:W82)&lt;=48,StepUp4,IF(ROWS($W$9:W82)&lt;=60,StepUp5,IF(ROWS($W$9:W82)&lt;=72,StepUp6,IF(ROWS($W$9:W82)&lt;=84,StepUp7,0))))))))))</f>
        <v/>
      </c>
      <c r="X82" s="101" t="str">
        <f ca="1">IF(V82="","",IF(AND(strikeType=DataValidation!$C$2,V82&gt;strike),('Cap Pricer'!V82-strike)*notional*((Volatilities_Resets!D77-Volatilities_Resets!C77)/360),IF(AND(strikeType=DataValidation!$C$3,V82&gt;W82),(V82-W82)*notional*((Volatilities_Resets!D77-Volatilities_Resets!C77)/360),0)))</f>
        <v/>
      </c>
      <c r="Y82" s="101" t="str">
        <f ca="1">IF(P82="","",(IF(X82&gt;0, ((VLOOKUP('Cap Pricer'!$P82,Calculator!$C$15:$T$98,18))*X82), 0)))</f>
        <v/>
      </c>
    </row>
    <row r="83" spans="16:25" x14ac:dyDescent="0.25">
      <c r="P83" s="108" t="str">
        <f ca="1">IF($Q83="","",COUNT($Q$9:$Q83))</f>
        <v/>
      </c>
      <c r="Q83" s="111" t="str">
        <f ca="1">IF($Q82="","",IF($Q82&lt;EDATE(DataValidation!$I$13,$E$19-1),EDATE($Q82,1),""))</f>
        <v/>
      </c>
      <c r="R83" s="98"/>
      <c r="S83" s="173" t="str">
        <f ca="1">IF(Q83="","",(VLOOKUP($Q83,Calculator!$D$15:$L$98,9)+SUM(DataValidation!$I$16:$I$17)/$E$19))</f>
        <v/>
      </c>
      <c r="T83" s="113" t="str">
        <f t="shared" ca="1" si="2"/>
        <v/>
      </c>
      <c r="U83" s="116"/>
      <c r="V83" s="113" t="str">
        <f ca="1">IF(P83="","",'Vols - Forward Curve'!P76)</f>
        <v/>
      </c>
      <c r="W83" s="113" t="str">
        <f ca="1">IF(V83="","",IF(strikeType=DataValidation!$C$2,strike,IF(strikeType=DataValidation!$C$3,IF(ROWS($W$9:W83)&lt;=12,StepUp1,IF(ROWS($W$9:W83)&lt;=24,StepUp2,IF(ROWS($W$9:W83)&lt;=36,StepUp3,IF(ROWS($W$9:W83)&lt;=48,StepUp4,IF(ROWS($W$9:W83)&lt;=60,StepUp5,IF(ROWS($W$9:W83)&lt;=72,StepUp6,IF(ROWS($W$9:W83)&lt;=84,StepUp7,0))))))))))</f>
        <v/>
      </c>
      <c r="X83" s="101" t="str">
        <f ca="1">IF(V83="","",IF(AND(strikeType=DataValidation!$C$2,V83&gt;strike),('Cap Pricer'!V83-strike)*notional*((Volatilities_Resets!D78-Volatilities_Resets!C78)/360),IF(AND(strikeType=DataValidation!$C$3,V83&gt;W83),(V83-W83)*notional*((Volatilities_Resets!D78-Volatilities_Resets!C78)/360),0)))</f>
        <v/>
      </c>
      <c r="Y83" s="101" t="str">
        <f ca="1">IF(P83="","",(IF(X83&gt;0, ((VLOOKUP('Cap Pricer'!$P83,Calculator!$C$15:$T$98,18))*X83), 0)))</f>
        <v/>
      </c>
    </row>
    <row r="84" spans="16:25" x14ac:dyDescent="0.25">
      <c r="P84" s="108" t="str">
        <f ca="1">IF($Q84="","",COUNT($Q$9:$Q84))</f>
        <v/>
      </c>
      <c r="Q84" s="111" t="str">
        <f ca="1">IF($Q83="","",IF($Q83&lt;EDATE(DataValidation!$I$13,$E$19-1),EDATE($Q83,1),""))</f>
        <v/>
      </c>
      <c r="R84" s="98"/>
      <c r="S84" s="173" t="str">
        <f ca="1">IF(Q84="","",(VLOOKUP($Q84,Calculator!$D$15:$L$98,9)+SUM(DataValidation!$I$16:$I$17)/$E$19))</f>
        <v/>
      </c>
      <c r="T84" s="113" t="str">
        <f t="shared" ca="1" si="2"/>
        <v/>
      </c>
      <c r="U84" s="116"/>
      <c r="V84" s="113" t="str">
        <f ca="1">IF(P84="","",'Vols - Forward Curve'!P77)</f>
        <v/>
      </c>
      <c r="W84" s="113" t="str">
        <f ca="1">IF(V84="","",IF(strikeType=DataValidation!$C$2,strike,IF(strikeType=DataValidation!$C$3,IF(ROWS($W$9:W84)&lt;=12,StepUp1,IF(ROWS($W$9:W84)&lt;=24,StepUp2,IF(ROWS($W$9:W84)&lt;=36,StepUp3,IF(ROWS($W$9:W84)&lt;=48,StepUp4,IF(ROWS($W$9:W84)&lt;=60,StepUp5,IF(ROWS($W$9:W84)&lt;=72,StepUp6,IF(ROWS($W$9:W84)&lt;=84,StepUp7,0))))))))))</f>
        <v/>
      </c>
      <c r="X84" s="101" t="str">
        <f ca="1">IF(V84="","",IF(AND(strikeType=DataValidation!$C$2,V84&gt;strike),('Cap Pricer'!V84-strike)*notional*((Volatilities_Resets!D79-Volatilities_Resets!C79)/360),IF(AND(strikeType=DataValidation!$C$3,V84&gt;W84),(V84-W84)*notional*((Volatilities_Resets!D79-Volatilities_Resets!C79)/360),0)))</f>
        <v/>
      </c>
      <c r="Y84" s="101" t="str">
        <f ca="1">IF(P84="","",(IF(X84&gt;0, ((VLOOKUP('Cap Pricer'!$P84,Calculator!$C$15:$T$98,18))*X84), 0)))</f>
        <v/>
      </c>
    </row>
    <row r="85" spans="16:25" x14ac:dyDescent="0.25">
      <c r="P85" s="108" t="str">
        <f ca="1">IF($Q85="","",COUNT($Q$9:$Q85))</f>
        <v/>
      </c>
      <c r="Q85" s="111" t="str">
        <f ca="1">IF($Q84="","",IF($Q84&lt;EDATE(DataValidation!$I$13,$E$19-1),EDATE($Q84,1),""))</f>
        <v/>
      </c>
      <c r="R85" s="98"/>
      <c r="S85" s="173" t="str">
        <f ca="1">IF(Q85="","",(VLOOKUP($Q85,Calculator!$D$15:$L$98,9)+SUM(DataValidation!$I$16:$I$17)/$E$19))</f>
        <v/>
      </c>
      <c r="T85" s="113" t="str">
        <f t="shared" ca="1" si="2"/>
        <v/>
      </c>
      <c r="U85" s="116"/>
      <c r="V85" s="113" t="str">
        <f ca="1">IF(P85="","",'Vols - Forward Curve'!P78)</f>
        <v/>
      </c>
      <c r="W85" s="113" t="str">
        <f ca="1">IF(V85="","",IF(strikeType=DataValidation!$C$2,strike,IF(strikeType=DataValidation!$C$3,IF(ROWS($W$9:W85)&lt;=12,StepUp1,IF(ROWS($W$9:W85)&lt;=24,StepUp2,IF(ROWS($W$9:W85)&lt;=36,StepUp3,IF(ROWS($W$9:W85)&lt;=48,StepUp4,IF(ROWS($W$9:W85)&lt;=60,StepUp5,IF(ROWS($W$9:W85)&lt;=72,StepUp6,IF(ROWS($W$9:W85)&lt;=84,StepUp7,0))))))))))</f>
        <v/>
      </c>
      <c r="X85" s="101" t="str">
        <f ca="1">IF(V85="","",IF(AND(strikeType=DataValidation!$C$2,V85&gt;strike),('Cap Pricer'!V85-strike)*notional*((Volatilities_Resets!D80-Volatilities_Resets!C80)/360),IF(AND(strikeType=DataValidation!$C$3,V85&gt;W85),(V85-W85)*notional*((Volatilities_Resets!D80-Volatilities_Resets!C80)/360),0)))</f>
        <v/>
      </c>
      <c r="Y85" s="101" t="str">
        <f ca="1">IF(P85="","",(IF(X85&gt;0, ((VLOOKUP('Cap Pricer'!$P85,Calculator!$C$15:$T$98,18))*X85), 0)))</f>
        <v/>
      </c>
    </row>
    <row r="86" spans="16:25" x14ac:dyDescent="0.25">
      <c r="P86" s="108" t="str">
        <f ca="1">IF($Q86="","",COUNT($Q$9:$Q86))</f>
        <v/>
      </c>
      <c r="Q86" s="111" t="str">
        <f ca="1">IF($Q85="","",IF($Q85&lt;EDATE(DataValidation!$I$13,$E$19-1),EDATE($Q85,1),""))</f>
        <v/>
      </c>
      <c r="R86" s="98"/>
      <c r="S86" s="173" t="str">
        <f ca="1">IF(Q86="","",(VLOOKUP($Q86,Calculator!$D$15:$L$98,9)+SUM(DataValidation!$I$16:$I$17)/$E$19))</f>
        <v/>
      </c>
      <c r="T86" s="113" t="str">
        <f t="shared" ca="1" si="2"/>
        <v/>
      </c>
      <c r="U86" s="116"/>
      <c r="V86" s="113" t="str">
        <f ca="1">IF(P86="","",'Vols - Forward Curve'!P79)</f>
        <v/>
      </c>
      <c r="W86" s="113" t="str">
        <f ca="1">IF(V86="","",IF(strikeType=DataValidation!$C$2,strike,IF(strikeType=DataValidation!$C$3,IF(ROWS($W$9:W86)&lt;=12,StepUp1,IF(ROWS($W$9:W86)&lt;=24,StepUp2,IF(ROWS($W$9:W86)&lt;=36,StepUp3,IF(ROWS($W$9:W86)&lt;=48,StepUp4,IF(ROWS($W$9:W86)&lt;=60,StepUp5,IF(ROWS($W$9:W86)&lt;=72,StepUp6,IF(ROWS($W$9:W86)&lt;=84,StepUp7,0))))))))))</f>
        <v/>
      </c>
      <c r="X86" s="101" t="str">
        <f ca="1">IF(V86="","",IF(AND(strikeType=DataValidation!$C$2,V86&gt;strike),('Cap Pricer'!V86-strike)*notional*((Volatilities_Resets!D81-Volatilities_Resets!C81)/360),IF(AND(strikeType=DataValidation!$C$3,V86&gt;W86),(V86-W86)*notional*((Volatilities_Resets!D81-Volatilities_Resets!C81)/360),0)))</f>
        <v/>
      </c>
      <c r="Y86" s="101" t="str">
        <f ca="1">IF(P86="","",(IF(X86&gt;0, ((VLOOKUP('Cap Pricer'!$P86,Calculator!$C$15:$T$98,18))*X86), 0)))</f>
        <v/>
      </c>
    </row>
    <row r="87" spans="16:25" x14ac:dyDescent="0.25">
      <c r="P87" s="108" t="str">
        <f ca="1">IF($Q87="","",COUNT($Q$9:$Q87))</f>
        <v/>
      </c>
      <c r="Q87" s="111" t="str">
        <f ca="1">IF($Q86="","",IF($Q86&lt;EDATE(DataValidation!$I$13,$E$19-1),EDATE($Q86,1),""))</f>
        <v/>
      </c>
      <c r="R87" s="98"/>
      <c r="S87" s="173" t="str">
        <f ca="1">IF(Q87="","",(VLOOKUP($Q87,Calculator!$D$15:$L$98,9)+SUM(DataValidation!$I$16:$I$17)/$E$19))</f>
        <v/>
      </c>
      <c r="T87" s="113" t="str">
        <f t="shared" ca="1" si="2"/>
        <v/>
      </c>
      <c r="U87" s="116"/>
      <c r="V87" s="113" t="str">
        <f ca="1">IF(P87="","",'Vols - Forward Curve'!P80)</f>
        <v/>
      </c>
      <c r="W87" s="113" t="str">
        <f ca="1">IF(V87="","",IF(strikeType=DataValidation!$C$2,strike,IF(strikeType=DataValidation!$C$3,IF(ROWS($W$9:W87)&lt;=12,StepUp1,IF(ROWS($W$9:W87)&lt;=24,StepUp2,IF(ROWS($W$9:W87)&lt;=36,StepUp3,IF(ROWS($W$9:W87)&lt;=48,StepUp4,IF(ROWS($W$9:W87)&lt;=60,StepUp5,IF(ROWS($W$9:W87)&lt;=72,StepUp6,IF(ROWS($W$9:W87)&lt;=84,StepUp7,0))))))))))</f>
        <v/>
      </c>
      <c r="X87" s="101" t="str">
        <f ca="1">IF(V87="","",IF(AND(strikeType=DataValidation!$C$2,V87&gt;strike),('Cap Pricer'!V87-strike)*notional*((Volatilities_Resets!D82-Volatilities_Resets!C82)/360),IF(AND(strikeType=DataValidation!$C$3,V87&gt;W87),(V87-W87)*notional*((Volatilities_Resets!D82-Volatilities_Resets!C82)/360),0)))</f>
        <v/>
      </c>
      <c r="Y87" s="101" t="str">
        <f ca="1">IF(P87="","",(IF(X87&gt;0, ((VLOOKUP('Cap Pricer'!$P87,Calculator!$C$15:$T$98,18))*X87), 0)))</f>
        <v/>
      </c>
    </row>
    <row r="88" spans="16:25" x14ac:dyDescent="0.25">
      <c r="P88" s="108" t="str">
        <f ca="1">IF($Q88="","",COUNT($Q$9:$Q88))</f>
        <v/>
      </c>
      <c r="Q88" s="111" t="str">
        <f ca="1">IF($Q87="","",IF($Q87&lt;EDATE(DataValidation!$I$13,$E$19-1),EDATE($Q87,1),""))</f>
        <v/>
      </c>
      <c r="R88" s="98"/>
      <c r="S88" s="173" t="str">
        <f ca="1">IF(Q88="","",(VLOOKUP($Q88,Calculator!$D$15:$L$98,9)+SUM(DataValidation!$I$16:$I$17)/$E$19))</f>
        <v/>
      </c>
      <c r="T88" s="113" t="str">
        <f t="shared" ca="1" si="2"/>
        <v/>
      </c>
      <c r="U88" s="116"/>
      <c r="V88" s="113" t="str">
        <f ca="1">IF(P88="","",'Vols - Forward Curve'!P81)</f>
        <v/>
      </c>
      <c r="W88" s="113" t="str">
        <f ca="1">IF(V88="","",IF(strikeType=DataValidation!$C$2,strike,IF(strikeType=DataValidation!$C$3,IF(ROWS($W$9:W88)&lt;=12,StepUp1,IF(ROWS($W$9:W88)&lt;=24,StepUp2,IF(ROWS($W$9:W88)&lt;=36,StepUp3,IF(ROWS($W$9:W88)&lt;=48,StepUp4,IF(ROWS($W$9:W88)&lt;=60,StepUp5,IF(ROWS($W$9:W88)&lt;=72,StepUp6,IF(ROWS($W$9:W88)&lt;=84,StepUp7,0))))))))))</f>
        <v/>
      </c>
      <c r="X88" s="101" t="str">
        <f ca="1">IF(V88="","",IF(AND(strikeType=DataValidation!$C$2,V88&gt;strike),('Cap Pricer'!V88-strike)*notional*((Volatilities_Resets!D83-Volatilities_Resets!C83)/360),IF(AND(strikeType=DataValidation!$C$3,V88&gt;W88),(V88-W88)*notional*((Volatilities_Resets!D83-Volatilities_Resets!C83)/360),0)))</f>
        <v/>
      </c>
      <c r="Y88" s="101" t="str">
        <f ca="1">IF(P88="","",(IF(X88&gt;0, ((VLOOKUP('Cap Pricer'!$P88,Calculator!$C$15:$T$98,18))*X88), 0)))</f>
        <v/>
      </c>
    </row>
    <row r="89" spans="16:25" x14ac:dyDescent="0.25">
      <c r="P89" s="108" t="str">
        <f ca="1">IF($Q89="","",COUNT($Q$9:$Q89))</f>
        <v/>
      </c>
      <c r="Q89" s="111" t="str">
        <f ca="1">IF($Q88="","",IF($Q88&lt;EDATE(DataValidation!$I$13,$E$19-1),EDATE($Q88,1),""))</f>
        <v/>
      </c>
      <c r="R89" s="98"/>
      <c r="S89" s="173" t="str">
        <f ca="1">IF(Q89="","",(VLOOKUP($Q89,Calculator!$D$15:$L$98,9)+SUM(DataValidation!$I$16:$I$17)/$E$19))</f>
        <v/>
      </c>
      <c r="T89" s="113" t="str">
        <f t="shared" ca="1" si="2"/>
        <v/>
      </c>
      <c r="U89" s="116"/>
      <c r="V89" s="113" t="str">
        <f ca="1">IF(P89="","",'Vols - Forward Curve'!P82)</f>
        <v/>
      </c>
      <c r="W89" s="113" t="str">
        <f ca="1">IF(V89="","",IF(strikeType=DataValidation!$C$2,strike,IF(strikeType=DataValidation!$C$3,IF(ROWS($W$9:W89)&lt;=12,StepUp1,IF(ROWS($W$9:W89)&lt;=24,StepUp2,IF(ROWS($W$9:W89)&lt;=36,StepUp3,IF(ROWS($W$9:W89)&lt;=48,StepUp4,IF(ROWS($W$9:W89)&lt;=60,StepUp5,IF(ROWS($W$9:W89)&lt;=72,StepUp6,IF(ROWS($W$9:W89)&lt;=84,StepUp7,0))))))))))</f>
        <v/>
      </c>
      <c r="X89" s="101" t="str">
        <f ca="1">IF(V89="","",IF(AND(strikeType=DataValidation!$C$2,V89&gt;strike),('Cap Pricer'!V89-strike)*notional*((Volatilities_Resets!D84-Volatilities_Resets!C84)/360),IF(AND(strikeType=DataValidation!$C$3,V89&gt;W89),(V89-W89)*notional*((Volatilities_Resets!D84-Volatilities_Resets!C84)/360),0)))</f>
        <v/>
      </c>
      <c r="Y89" s="101" t="str">
        <f ca="1">IF(P89="","",(IF(X89&gt;0, ((VLOOKUP('Cap Pricer'!$P89,Calculator!$C$15:$T$98,18))*X89), 0)))</f>
        <v/>
      </c>
    </row>
    <row r="90" spans="16:25" x14ac:dyDescent="0.25">
      <c r="P90" s="108" t="str">
        <f ca="1">IF($Q90="","",COUNT($Q$9:$Q90))</f>
        <v/>
      </c>
      <c r="Q90" s="111" t="str">
        <f ca="1">IF($Q89="","",IF($Q89&lt;EDATE(DataValidation!$I$13,$E$19-1),EDATE($Q89,1),""))</f>
        <v/>
      </c>
      <c r="R90" s="98"/>
      <c r="S90" s="173" t="str">
        <f ca="1">IF(Q90="","",(VLOOKUP($Q90,Calculator!$D$15:$L$98,9)+SUM(DataValidation!$I$16:$I$17)/$E$19))</f>
        <v/>
      </c>
      <c r="T90" s="113" t="str">
        <f t="shared" ca="1" si="2"/>
        <v/>
      </c>
      <c r="U90" s="116"/>
      <c r="V90" s="113" t="str">
        <f ca="1">IF(P90="","",'Vols - Forward Curve'!P83)</f>
        <v/>
      </c>
      <c r="W90" s="113" t="str">
        <f ca="1">IF(V90="","",IF(strikeType=DataValidation!$C$2,strike,IF(strikeType=DataValidation!$C$3,IF(ROWS($W$9:W90)&lt;=12,StepUp1,IF(ROWS($W$9:W90)&lt;=24,StepUp2,IF(ROWS($W$9:W90)&lt;=36,StepUp3,IF(ROWS($W$9:W90)&lt;=48,StepUp4,IF(ROWS($W$9:W90)&lt;=60,StepUp5,IF(ROWS($W$9:W90)&lt;=72,StepUp6,IF(ROWS($W$9:W90)&lt;=84,StepUp7,0))))))))))</f>
        <v/>
      </c>
      <c r="X90" s="101" t="str">
        <f ca="1">IF(V90="","",IF(AND(strikeType=DataValidation!$C$2,V90&gt;strike),('Cap Pricer'!V90-strike)*notional*((Volatilities_Resets!D85-Volatilities_Resets!C85)/360),IF(AND(strikeType=DataValidation!$C$3,V90&gt;W90),(V90-W90)*notional*((Volatilities_Resets!D85-Volatilities_Resets!C85)/360),0)))</f>
        <v/>
      </c>
      <c r="Y90" s="101" t="str">
        <f ca="1">IF(P90="","",(IF(X90&gt;0, ((VLOOKUP('Cap Pricer'!$P90,Calculator!$C$15:$T$98,18))*X90), 0)))</f>
        <v/>
      </c>
    </row>
    <row r="91" spans="16:25" x14ac:dyDescent="0.25">
      <c r="P91" s="108" t="str">
        <f ca="1">IF($Q91="","",COUNT($Q$9:$Q91))</f>
        <v/>
      </c>
      <c r="Q91" s="111" t="str">
        <f ca="1">IF($Q90="","",IF($Q90&lt;EDATE(DataValidation!$I$13,$E$19-1),EDATE($Q90,1),""))</f>
        <v/>
      </c>
      <c r="R91" s="98"/>
      <c r="S91" s="173" t="str">
        <f ca="1">IF(Q91="","",(VLOOKUP($Q91,Calculator!$D$15:$L$98,9)+SUM(DataValidation!$I$16:$I$17)/$E$19))</f>
        <v/>
      </c>
      <c r="T91" s="113" t="str">
        <f t="shared" ca="1" si="2"/>
        <v/>
      </c>
      <c r="U91" s="116"/>
      <c r="V91" s="113" t="str">
        <f ca="1">IF(P91="","",'Vols - Forward Curve'!P84)</f>
        <v/>
      </c>
      <c r="W91" s="113" t="str">
        <f ca="1">IF(V91="","",IF(strikeType=DataValidation!$C$2,strike,IF(strikeType=DataValidation!$C$3,IF(ROWS($W$9:W91)&lt;=12,StepUp1,IF(ROWS($W$9:W91)&lt;=24,StepUp2,IF(ROWS($W$9:W91)&lt;=36,StepUp3,IF(ROWS($W$9:W91)&lt;=48,StepUp4,IF(ROWS($W$9:W91)&lt;=60,StepUp5,IF(ROWS($W$9:W91)&lt;=72,StepUp6,IF(ROWS($W$9:W91)&lt;=84,StepUp7,0))))))))))</f>
        <v/>
      </c>
      <c r="X91" s="101" t="str">
        <f ca="1">IF(V91="","",IF(AND(strikeType=DataValidation!$C$2,V91&gt;strike),('Cap Pricer'!V91-strike)*notional*((Volatilities_Resets!D86-Volatilities_Resets!C86)/360),IF(AND(strikeType=DataValidation!$C$3,V91&gt;W91),(V91-W91)*notional*((Volatilities_Resets!D86-Volatilities_Resets!C86)/360),0)))</f>
        <v/>
      </c>
      <c r="Y91" s="101" t="str">
        <f ca="1">IF(P91="","",(IF(X91&gt;0, ((VLOOKUP('Cap Pricer'!$P91,Calculator!$C$15:$T$98,18))*X91), 0)))</f>
        <v/>
      </c>
    </row>
    <row r="92" spans="16:25" x14ac:dyDescent="0.25">
      <c r="P92" s="108" t="str">
        <f ca="1">IF($Q92="","",COUNT($Q$9:$Q92))</f>
        <v/>
      </c>
      <c r="Q92" s="111" t="str">
        <f ca="1">IF($Q91="","",IF($Q91&lt;EDATE(DataValidation!$I$13,$E$19-1),EDATE($Q91,1),""))</f>
        <v/>
      </c>
      <c r="R92" s="98"/>
      <c r="S92" s="173" t="str">
        <f ca="1">IF(Q92="","",(VLOOKUP($Q92,Calculator!$D$15:$L$98,9)+SUM(DataValidation!$I$16:$I$17)/$E$19))</f>
        <v/>
      </c>
      <c r="T92" s="113" t="str">
        <f t="shared" ca="1" si="2"/>
        <v/>
      </c>
      <c r="U92" s="116"/>
      <c r="V92" s="113" t="str">
        <f ca="1">IF(P92="","",'Vols - Forward Curve'!P85)</f>
        <v/>
      </c>
      <c r="W92" s="113" t="str">
        <f ca="1">IF(V92="","",IF(strikeType=DataValidation!$C$2,strike,IF(strikeType=DataValidation!$C$3,IF(ROWS($W$9:W92)&lt;=12,StepUp1,IF(ROWS($W$9:W92)&lt;=24,StepUp2,IF(ROWS($W$9:W92)&lt;=36,StepUp3,IF(ROWS($W$9:W92)&lt;=48,StepUp4,IF(ROWS($W$9:W92)&lt;=60,StepUp5,IF(ROWS($W$9:W92)&lt;=72,StepUp6,IF(ROWS($W$9:W92)&lt;=84,StepUp7,0))))))))))</f>
        <v/>
      </c>
      <c r="X92" s="101" t="str">
        <f ca="1">IF(V92="","",IF(AND(strikeType=DataValidation!$C$2,V92&gt;strike),('Cap Pricer'!V92-strike)*notional*((Volatilities_Resets!D87-Volatilities_Resets!C87)/360),IF(AND(strikeType=DataValidation!$C$3,V92&gt;W92),(V92-W92)*notional*((Volatilities_Resets!D87-Volatilities_Resets!C87)/360),0)))</f>
        <v/>
      </c>
      <c r="Y92" s="101" t="str">
        <f ca="1">IF(P92="","",(IF(X92&gt;0, ((VLOOKUP('Cap Pricer'!$P92,Calculator!$C$15:$T$98,18))*X92), 0)))</f>
        <v/>
      </c>
    </row>
    <row r="93" spans="16:25" x14ac:dyDescent="0.25">
      <c r="R93" s="98"/>
    </row>
    <row r="94" spans="16:25" x14ac:dyDescent="0.25">
      <c r="R94" s="98"/>
    </row>
    <row r="95" spans="16:25" x14ac:dyDescent="0.25">
      <c r="R95" s="98"/>
    </row>
    <row r="96" spans="16:25" x14ac:dyDescent="0.25">
      <c r="R96" s="98"/>
    </row>
    <row r="97" spans="18:26" x14ac:dyDescent="0.25">
      <c r="R97" s="98"/>
    </row>
    <row r="98" spans="18:26" x14ac:dyDescent="0.25">
      <c r="R98" s="98"/>
    </row>
    <row r="99" spans="18:26" x14ac:dyDescent="0.25">
      <c r="R99" s="98"/>
    </row>
    <row r="100" spans="18:26" x14ac:dyDescent="0.25">
      <c r="R100" s="98"/>
    </row>
    <row r="101" spans="18:26" x14ac:dyDescent="0.25">
      <c r="R101" s="98"/>
    </row>
    <row r="102" spans="18:26" x14ac:dyDescent="0.25">
      <c r="R102" s="98"/>
    </row>
    <row r="103" spans="18:26" x14ac:dyDescent="0.25">
      <c r="R103" s="98"/>
    </row>
    <row r="104" spans="18:26" x14ac:dyDescent="0.25">
      <c r="R104" s="98"/>
    </row>
    <row r="105" spans="18:26" x14ac:dyDescent="0.25">
      <c r="R105" s="98"/>
    </row>
    <row r="106" spans="18:26" x14ac:dyDescent="0.25">
      <c r="R106" s="98"/>
    </row>
    <row r="107" spans="18:26" x14ac:dyDescent="0.25">
      <c r="R107" s="98"/>
    </row>
    <row r="108" spans="18:26" x14ac:dyDescent="0.25">
      <c r="R108" s="98"/>
    </row>
    <row r="109" spans="18:26" x14ac:dyDescent="0.25">
      <c r="R109" s="98"/>
    </row>
    <row r="110" spans="18:26" x14ac:dyDescent="0.25">
      <c r="R110" s="98"/>
    </row>
    <row r="111" spans="18:26" x14ac:dyDescent="0.25">
      <c r="R111" s="98"/>
    </row>
    <row r="112" spans="18:26" x14ac:dyDescent="0.25">
      <c r="R112" s="98"/>
      <c r="Z112" s="102"/>
    </row>
    <row r="113" spans="18:18" x14ac:dyDescent="0.25">
      <c r="R113" s="98"/>
    </row>
    <row r="114" spans="18:18" x14ac:dyDescent="0.25">
      <c r="R114" s="98"/>
    </row>
    <row r="115" spans="18:18" x14ac:dyDescent="0.25">
      <c r="R115" s="98"/>
    </row>
    <row r="116" spans="18:18" x14ac:dyDescent="0.25">
      <c r="R116" s="98"/>
    </row>
    <row r="117" spans="18:18" x14ac:dyDescent="0.25">
      <c r="R117" s="98"/>
    </row>
  </sheetData>
  <sheetProtection algorithmName="SHA-512" hashValue="4DFW4x0NsYDg8uoXO/KagvdHq5snM1ZmEnJlYZce/FcPqt6NeVxvLJSTAPt/93ugjKZh1Ifd0MSJ8fpTGk6WNw==" saltValue="IAWsok3h9/kXULa64LFjDA==" spinCount="100000" sheet="1" objects="1" scenarios="1"/>
  <protectedRanges>
    <protectedRange sqref="E18:E19 E21:E23 G19:G22 G27:H27" name="Range1"/>
  </protectedRanges>
  <dataConsolidate link="1"/>
  <mergeCells count="23">
    <mergeCell ref="C33:N35"/>
    <mergeCell ref="G5:N14"/>
    <mergeCell ref="M22:N22"/>
    <mergeCell ref="M20:N20"/>
    <mergeCell ref="M18:N18"/>
    <mergeCell ref="M21:N21"/>
    <mergeCell ref="M19:N19"/>
    <mergeCell ref="K22:L22"/>
    <mergeCell ref="K20:L20"/>
    <mergeCell ref="K18:L18"/>
    <mergeCell ref="K21:L21"/>
    <mergeCell ref="K19:L19"/>
    <mergeCell ref="I22:J22"/>
    <mergeCell ref="I20:J20"/>
    <mergeCell ref="I18:J18"/>
    <mergeCell ref="I19:J19"/>
    <mergeCell ref="I21:J21"/>
    <mergeCell ref="L26:N27"/>
    <mergeCell ref="L28:N29"/>
    <mergeCell ref="G27:H27"/>
    <mergeCell ref="C12:D13"/>
    <mergeCell ref="E12:E13"/>
    <mergeCell ref="C14:E15"/>
  </mergeCells>
  <conditionalFormatting sqref="C26 E26">
    <cfRule type="expression" dxfId="9" priority="15">
      <formula>$E$19&lt;=12</formula>
    </cfRule>
  </conditionalFormatting>
  <conditionalFormatting sqref="C27 E27">
    <cfRule type="expression" dxfId="8" priority="16">
      <formula>$E$19&lt;=24</formula>
    </cfRule>
  </conditionalFormatting>
  <conditionalFormatting sqref="C28 E28">
    <cfRule type="expression" dxfId="7" priority="18">
      <formula>$E$19&lt;=36</formula>
    </cfRule>
  </conditionalFormatting>
  <conditionalFormatting sqref="C29 E29">
    <cfRule type="expression" dxfId="6" priority="19">
      <formula>$E$19&lt;=48</formula>
    </cfRule>
  </conditionalFormatting>
  <conditionalFormatting sqref="C30 E30">
    <cfRule type="expression" dxfId="5" priority="20">
      <formula>$E$19&lt;=60</formula>
    </cfRule>
  </conditionalFormatting>
  <conditionalFormatting sqref="C31 E31">
    <cfRule type="expression" dxfId="4" priority="21">
      <formula>$E$19&lt;=72</formula>
    </cfRule>
  </conditionalFormatting>
  <conditionalFormatting sqref="C24:E24">
    <cfRule type="expression" dxfId="2" priority="60">
      <formula>$E$22="Constant"</formula>
    </cfRule>
  </conditionalFormatting>
  <conditionalFormatting sqref="F16:F18">
    <cfRule type="expression" dxfId="1" priority="50">
      <formula>#REF!=#REF!</formula>
    </cfRule>
  </conditionalFormatting>
  <dataValidations count="1">
    <dataValidation type="list" allowBlank="1" showInputMessage="1" showErrorMessage="1" sqref="F15" xr:uid="{00000000-0002-0000-0000-000000000000}">
      <formula1>#REF!</formula1>
    </dataValidation>
  </dataValidations>
  <pageMargins left="0.7" right="0.7" top="0.75" bottom="0.75" header="0.3" footer="0.3"/>
  <pageSetup scale="35"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61" id="{00000000-000E-0000-0000-00001E000000}">
            <xm:f>$E$22=DataValidation!$C$2</xm:f>
            <x14:dxf>
              <font>
                <color theme="0"/>
              </font>
              <fill>
                <patternFill>
                  <bgColor theme="0"/>
                </patternFill>
              </fill>
            </x14:dxf>
          </x14:cfRule>
          <xm:sqref>C25:C31 E25:E31</xm:sqref>
        </x14:conditionalFormatting>
        <x14:conditionalFormatting xmlns:xm="http://schemas.microsoft.com/office/excel/2006/main">
          <x14:cfRule type="expression" priority="55" id="{00000000-000E-0000-0000-00001E000000}">
            <xm:f>$E$22=DataValidation!$C$3</xm:f>
            <x14:dxf>
              <font>
                <color theme="0"/>
              </font>
              <fill>
                <patternFill>
                  <bgColor theme="0"/>
                </patternFill>
              </fill>
            </x14:dxf>
          </x14:cfRule>
          <xm:sqref>C23:E23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DataValidation!$F$2:$F$3</xm:f>
          </x14:formula1>
          <xm:sqref>E21</xm:sqref>
        </x14:dataValidation>
        <x14:dataValidation type="list" allowBlank="1" showInputMessage="1" showErrorMessage="1" xr:uid="{00000000-0002-0000-0000-000003000000}">
          <x14:formula1>
            <xm:f>DataValidation!$C$2:$C$3</xm:f>
          </x14:formula1>
          <xm:sqref>E22</xm:sqref>
        </x14:dataValidation>
        <x14:dataValidation type="list" allowBlank="1" showInputMessage="1" showErrorMessage="1" xr:uid="{00000000-0002-0000-0000-000005000000}">
          <x14:formula1>
            <xm:f>DataValidation!$B$2:$B$11</xm:f>
          </x14:formula1>
          <xm:sqref>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00B0D-70DC-4716-A54A-C7C1FBCA5B02}">
  <sheetPr codeName="Sheet3">
    <pageSetUpPr fitToPage="1"/>
  </sheetPr>
  <dimension ref="A1:AF105"/>
  <sheetViews>
    <sheetView showGridLines="0" zoomScaleNormal="100" workbookViewId="0">
      <pane xSplit="1" ySplit="3" topLeftCell="B4" activePane="bottomRight" state="frozen"/>
      <selection activeCell="E19" sqref="E19"/>
      <selection pane="topRight" activeCell="E19" sqref="E19"/>
      <selection pane="bottomLeft" activeCell="E19" sqref="E19"/>
      <selection pane="bottomRight" activeCell="C4" sqref="C4"/>
    </sheetView>
  </sheetViews>
  <sheetFormatPr defaultColWidth="9.140625" defaultRowHeight="12.75" x14ac:dyDescent="0.2"/>
  <cols>
    <col min="1" max="2" width="9.140625" style="131" customWidth="1"/>
    <col min="3" max="4" width="11" style="131" customWidth="1"/>
    <col min="5" max="5" width="20.28515625" style="131" customWidth="1"/>
    <col min="6" max="6" width="9.140625" style="131" customWidth="1"/>
    <col min="7" max="7" width="11.28515625" style="131" customWidth="1"/>
    <col min="8" max="8" width="3.85546875" style="131" customWidth="1"/>
    <col min="9" max="9" width="11.28515625" style="131" customWidth="1"/>
    <col min="10" max="10" width="3.85546875" style="131" customWidth="1"/>
    <col min="11" max="11" width="11.28515625" style="131" customWidth="1"/>
    <col min="12" max="12" width="4.7109375" style="131" bestFit="1" customWidth="1"/>
    <col min="13" max="13" width="11.28515625" style="131" customWidth="1"/>
    <col min="14" max="14" width="3.85546875" style="131" customWidth="1"/>
    <col min="15" max="15" width="11.28515625" style="131" customWidth="1"/>
    <col min="16" max="16" width="3.85546875" style="131" customWidth="1"/>
    <col min="17" max="17" width="11.28515625" style="131" customWidth="1"/>
    <col min="18" max="18" width="3.85546875" style="131" customWidth="1"/>
    <col min="19" max="19" width="11.28515625" style="131" customWidth="1"/>
    <col min="20" max="20" width="3.85546875" style="131" customWidth="1"/>
    <col min="21" max="21" width="11.28515625" style="131" customWidth="1"/>
    <col min="22" max="22" width="3.85546875" style="131" customWidth="1"/>
    <col min="23" max="23" width="11.28515625" style="131" customWidth="1"/>
    <col min="24" max="24" width="3.85546875" style="131" customWidth="1"/>
    <col min="25" max="25" width="11.28515625" style="131" customWidth="1"/>
    <col min="26" max="26" width="3.85546875" style="131" customWidth="1"/>
    <col min="27" max="27" width="11.28515625" style="131" customWidth="1"/>
    <col min="28" max="28" width="5.140625" style="131" customWidth="1"/>
    <col min="29" max="29" width="9.140625" style="131" customWidth="1"/>
    <col min="30" max="30" width="3.5703125" style="131" customWidth="1"/>
    <col min="31" max="31" width="11.42578125" customWidth="1"/>
    <col min="32" max="33" width="9.140625" style="131" customWidth="1"/>
    <col min="34" max="16384" width="9.140625" style="131"/>
  </cols>
  <sheetData>
    <row r="1" spans="1:32" ht="26.25" x14ac:dyDescent="0.25">
      <c r="A1" s="155" t="s">
        <v>21</v>
      </c>
      <c r="B1" s="154"/>
      <c r="C1" s="154"/>
      <c r="D1" s="154"/>
      <c r="E1" s="154"/>
      <c r="F1" s="154"/>
      <c r="G1" s="196" t="s">
        <v>128</v>
      </c>
      <c r="H1" s="145"/>
      <c r="I1" s="196" t="s">
        <v>128</v>
      </c>
      <c r="J1" s="145"/>
      <c r="K1" s="196" t="s">
        <v>128</v>
      </c>
      <c r="L1" s="145"/>
      <c r="M1" s="196" t="s">
        <v>128</v>
      </c>
      <c r="N1" s="145"/>
      <c r="O1" s="196" t="s">
        <v>128</v>
      </c>
      <c r="P1" s="145"/>
      <c r="Q1" s="196" t="s">
        <v>128</v>
      </c>
      <c r="R1" s="145"/>
      <c r="S1" s="196" t="s">
        <v>128</v>
      </c>
      <c r="T1" s="145"/>
      <c r="U1" s="196" t="s">
        <v>128</v>
      </c>
      <c r="V1" s="145"/>
      <c r="W1" s="196" t="s">
        <v>128</v>
      </c>
      <c r="X1" s="145"/>
      <c r="Y1" s="196" t="s">
        <v>128</v>
      </c>
      <c r="Z1" s="145"/>
      <c r="AA1" s="196" t="s">
        <v>128</v>
      </c>
      <c r="AB1" s="153"/>
      <c r="AC1" s="136"/>
      <c r="AD1" s="136"/>
      <c r="AE1" s="131"/>
    </row>
    <row r="2" spans="1:32" x14ac:dyDescent="0.2">
      <c r="G2" s="152" t="s">
        <v>91</v>
      </c>
      <c r="I2" s="177" t="s">
        <v>109</v>
      </c>
      <c r="K2" s="177" t="s">
        <v>119</v>
      </c>
      <c r="M2" s="152" t="s">
        <v>120</v>
      </c>
      <c r="O2" s="152" t="s">
        <v>121</v>
      </c>
      <c r="Q2" s="152" t="s">
        <v>122</v>
      </c>
      <c r="S2" s="152" t="s">
        <v>92</v>
      </c>
      <c r="U2" s="152" t="s">
        <v>110</v>
      </c>
      <c r="W2" s="152" t="s">
        <v>111</v>
      </c>
      <c r="Y2" s="152" t="s">
        <v>117</v>
      </c>
      <c r="AA2" s="152" t="s">
        <v>118</v>
      </c>
      <c r="AC2" s="151" t="s">
        <v>85</v>
      </c>
    </row>
    <row r="3" spans="1:32" x14ac:dyDescent="0.2">
      <c r="B3" s="150" t="s">
        <v>5</v>
      </c>
      <c r="C3" s="150" t="s">
        <v>6</v>
      </c>
      <c r="D3" s="150" t="s">
        <v>7</v>
      </c>
      <c r="E3" s="150" t="s">
        <v>112</v>
      </c>
      <c r="F3" s="140"/>
      <c r="G3" s="150" t="s">
        <v>23</v>
      </c>
      <c r="H3" s="140"/>
      <c r="I3" s="150" t="s">
        <v>23</v>
      </c>
      <c r="J3" s="140"/>
      <c r="K3" s="150" t="s">
        <v>23</v>
      </c>
      <c r="L3" s="140"/>
      <c r="M3" s="150" t="s">
        <v>23</v>
      </c>
      <c r="N3" s="140"/>
      <c r="O3" s="150" t="s">
        <v>23</v>
      </c>
      <c r="P3" s="140"/>
      <c r="Q3" s="150" t="s">
        <v>23</v>
      </c>
      <c r="R3" s="140"/>
      <c r="S3" s="150" t="s">
        <v>23</v>
      </c>
      <c r="T3" s="140"/>
      <c r="U3" s="150" t="s">
        <v>23</v>
      </c>
      <c r="V3" s="140"/>
      <c r="W3" s="150" t="s">
        <v>23</v>
      </c>
      <c r="X3" s="140"/>
      <c r="Y3" s="150" t="s">
        <v>23</v>
      </c>
      <c r="Z3" s="140"/>
      <c r="AA3" s="150" t="s">
        <v>23</v>
      </c>
      <c r="AC3" s="150" t="s">
        <v>23</v>
      </c>
    </row>
    <row r="4" spans="1:32" x14ac:dyDescent="0.2">
      <c r="B4" s="139">
        <v>1</v>
      </c>
      <c r="C4" s="149">
        <v>45194</v>
      </c>
      <c r="D4" s="133">
        <f t="shared" ref="D4:D35" si="0">EDATE(C4,1)</f>
        <v>45224</v>
      </c>
      <c r="E4" s="195">
        <v>5.3175100000000004</v>
      </c>
      <c r="F4" s="148"/>
      <c r="G4" s="135">
        <v>320.35000000000002</v>
      </c>
      <c r="H4" s="136">
        <v>20</v>
      </c>
      <c r="I4" s="135">
        <v>273.5</v>
      </c>
      <c r="J4" s="136">
        <v>6</v>
      </c>
      <c r="K4" s="135">
        <v>219.43</v>
      </c>
      <c r="L4" s="145">
        <v>50</v>
      </c>
      <c r="M4" s="144">
        <v>200.64</v>
      </c>
      <c r="N4" s="136">
        <v>-40</v>
      </c>
      <c r="O4" s="135">
        <v>181.33</v>
      </c>
      <c r="P4" s="136">
        <v>50</v>
      </c>
      <c r="Q4" s="135">
        <v>157.01</v>
      </c>
      <c r="R4" s="136">
        <v>40</v>
      </c>
      <c r="S4" s="135">
        <v>134.19999999999999</v>
      </c>
      <c r="T4" s="136">
        <v>20</v>
      </c>
      <c r="U4" s="135">
        <v>113.6</v>
      </c>
      <c r="V4" s="136">
        <v>-2</v>
      </c>
      <c r="W4" s="135">
        <v>90.92</v>
      </c>
      <c r="X4" s="136">
        <v>10</v>
      </c>
      <c r="Y4" s="135">
        <v>75.58</v>
      </c>
      <c r="Z4" s="136">
        <v>3</v>
      </c>
      <c r="AA4" s="144">
        <v>68.13</v>
      </c>
      <c r="AB4" s="146">
        <v>5</v>
      </c>
      <c r="AC4" s="135">
        <v>114.36</v>
      </c>
      <c r="AF4" s="147"/>
    </row>
    <row r="5" spans="1:32" x14ac:dyDescent="0.2">
      <c r="B5" s="139">
        <f t="shared" ref="B5:B36" si="1">IF(C5="","",B4+1)</f>
        <v>2</v>
      </c>
      <c r="C5" s="133">
        <f t="shared" ref="C5:C36" si="2">EDATE(C4,1)</f>
        <v>45224</v>
      </c>
      <c r="D5" s="133">
        <f t="shared" si="0"/>
        <v>45255</v>
      </c>
      <c r="E5" s="195">
        <v>5.3621100000000004</v>
      </c>
      <c r="G5" s="135">
        <v>320.89</v>
      </c>
      <c r="H5" s="136">
        <v>15</v>
      </c>
      <c r="I5" s="135">
        <v>274.10000000000002</v>
      </c>
      <c r="J5" s="136">
        <v>-60</v>
      </c>
      <c r="K5" s="135">
        <v>220.06</v>
      </c>
      <c r="L5" s="136">
        <v>-70</v>
      </c>
      <c r="M5" s="135">
        <v>201.28</v>
      </c>
      <c r="N5" s="136">
        <v>-20</v>
      </c>
      <c r="O5" s="135">
        <v>181.97</v>
      </c>
      <c r="P5" s="136">
        <v>-30</v>
      </c>
      <c r="Q5" s="135">
        <v>157.65</v>
      </c>
      <c r="R5" s="136">
        <v>-30</v>
      </c>
      <c r="S5" s="135">
        <v>134.82999999999998</v>
      </c>
      <c r="T5" s="136">
        <v>-15</v>
      </c>
      <c r="U5" s="135">
        <v>114.22</v>
      </c>
      <c r="V5" s="136">
        <v>10</v>
      </c>
      <c r="W5" s="135">
        <v>91.48</v>
      </c>
      <c r="X5" s="136">
        <v>5</v>
      </c>
      <c r="Y5" s="135">
        <v>75.989999999999995</v>
      </c>
      <c r="Z5" s="136">
        <v>-1</v>
      </c>
      <c r="AA5" s="144">
        <v>68.209999999999994</v>
      </c>
      <c r="AB5" s="146">
        <v>3</v>
      </c>
      <c r="AC5" s="135">
        <v>115.49</v>
      </c>
    </row>
    <row r="6" spans="1:32" x14ac:dyDescent="0.2">
      <c r="B6" s="139">
        <f t="shared" si="1"/>
        <v>3</v>
      </c>
      <c r="C6" s="133">
        <f t="shared" si="2"/>
        <v>45255</v>
      </c>
      <c r="D6" s="133">
        <f t="shared" si="0"/>
        <v>45285</v>
      </c>
      <c r="E6" s="195">
        <v>5.4037600000000001</v>
      </c>
      <c r="G6" s="135">
        <v>320.08000000000004</v>
      </c>
      <c r="H6" s="136">
        <v>10</v>
      </c>
      <c r="I6" s="135">
        <v>273.19</v>
      </c>
      <c r="J6" s="136">
        <v>3</v>
      </c>
      <c r="K6" s="135">
        <v>219.04</v>
      </c>
      <c r="L6" s="136">
        <v>5</v>
      </c>
      <c r="M6" s="135">
        <v>200.19</v>
      </c>
      <c r="N6" s="136">
        <v>20</v>
      </c>
      <c r="O6" s="135">
        <v>180.82</v>
      </c>
      <c r="P6" s="136">
        <v>2</v>
      </c>
      <c r="Q6" s="144">
        <v>156.41999999999999</v>
      </c>
      <c r="R6" s="136">
        <v>-5</v>
      </c>
      <c r="S6" s="135">
        <v>133.54000000000002</v>
      </c>
      <c r="T6" s="136">
        <v>-1</v>
      </c>
      <c r="U6" s="135">
        <v>112.9</v>
      </c>
      <c r="V6" s="136">
        <v>13</v>
      </c>
      <c r="W6" s="135">
        <v>90.28</v>
      </c>
      <c r="X6" s="136">
        <v>-3</v>
      </c>
      <c r="Y6" s="135">
        <v>75.349999999999994</v>
      </c>
      <c r="Z6" s="136">
        <v>0</v>
      </c>
      <c r="AA6" s="144">
        <v>68.59</v>
      </c>
      <c r="AB6" s="197">
        <v>-6</v>
      </c>
      <c r="AC6" s="135">
        <v>114.36</v>
      </c>
    </row>
    <row r="7" spans="1:32" x14ac:dyDescent="0.2">
      <c r="B7" s="139">
        <f t="shared" si="1"/>
        <v>4</v>
      </c>
      <c r="C7" s="133">
        <f>EDATE(C6,1)</f>
        <v>45285</v>
      </c>
      <c r="D7" s="133">
        <f t="shared" si="0"/>
        <v>45316</v>
      </c>
      <c r="E7" s="195">
        <v>5.4432999999999998</v>
      </c>
      <c r="G7" s="135">
        <v>321.26</v>
      </c>
      <c r="H7" s="136">
        <v>15</v>
      </c>
      <c r="I7" s="135">
        <v>274.49</v>
      </c>
      <c r="J7" s="136">
        <v>20</v>
      </c>
      <c r="K7" s="135">
        <v>220.44</v>
      </c>
      <c r="L7" s="136">
        <v>-5</v>
      </c>
      <c r="M7" s="135">
        <v>201.63</v>
      </c>
      <c r="N7" s="136">
        <v>10</v>
      </c>
      <c r="O7" s="135">
        <v>182.3</v>
      </c>
      <c r="P7" s="136">
        <v>-4</v>
      </c>
      <c r="Q7" s="135">
        <v>157.94</v>
      </c>
      <c r="R7" s="136">
        <v>20</v>
      </c>
      <c r="S7" s="135">
        <v>135.07999999999998</v>
      </c>
      <c r="T7" s="136">
        <v>-3.5</v>
      </c>
      <c r="U7" s="135">
        <v>114.42</v>
      </c>
      <c r="V7" s="136">
        <v>3</v>
      </c>
      <c r="W7" s="135">
        <v>91.66</v>
      </c>
      <c r="X7" s="136">
        <v>6</v>
      </c>
      <c r="Y7" s="135">
        <v>76.22</v>
      </c>
      <c r="Z7" s="136">
        <v>-3</v>
      </c>
      <c r="AA7" s="144">
        <v>68.52</v>
      </c>
      <c r="AB7" s="197">
        <v>-2</v>
      </c>
      <c r="AC7" s="135">
        <v>115.49</v>
      </c>
    </row>
    <row r="8" spans="1:32" x14ac:dyDescent="0.2">
      <c r="B8" s="139">
        <f t="shared" si="1"/>
        <v>5</v>
      </c>
      <c r="C8" s="133">
        <f t="shared" si="2"/>
        <v>45316</v>
      </c>
      <c r="D8" s="133">
        <f t="shared" si="0"/>
        <v>45347</v>
      </c>
      <c r="E8" s="195">
        <v>5.4416900000000004</v>
      </c>
      <c r="G8" s="135">
        <v>322.26</v>
      </c>
      <c r="H8" s="136">
        <v>7</v>
      </c>
      <c r="I8" s="135">
        <v>275.59000000000003</v>
      </c>
      <c r="J8" s="136">
        <v>-10</v>
      </c>
      <c r="K8" s="135">
        <v>221.61</v>
      </c>
      <c r="L8" s="136">
        <v>20</v>
      </c>
      <c r="M8" s="135">
        <v>202.84</v>
      </c>
      <c r="N8" s="136">
        <v>-2</v>
      </c>
      <c r="O8" s="135">
        <v>183.53</v>
      </c>
      <c r="P8" s="136">
        <v>8</v>
      </c>
      <c r="Q8" s="135">
        <v>159.19</v>
      </c>
      <c r="R8" s="136">
        <v>-3</v>
      </c>
      <c r="S8" s="135">
        <v>136.35</v>
      </c>
      <c r="T8" s="145">
        <v>-2</v>
      </c>
      <c r="U8" s="135">
        <v>115.66</v>
      </c>
      <c r="V8" s="136">
        <v>7</v>
      </c>
      <c r="W8" s="135">
        <v>92.8</v>
      </c>
      <c r="X8" s="136">
        <v>2</v>
      </c>
      <c r="Y8" s="135">
        <v>77</v>
      </c>
      <c r="Z8" s="136">
        <v>-6</v>
      </c>
      <c r="AA8" s="144">
        <v>68.58</v>
      </c>
      <c r="AB8" s="197"/>
      <c r="AC8" s="135">
        <v>116.75</v>
      </c>
    </row>
    <row r="9" spans="1:32" x14ac:dyDescent="0.2">
      <c r="B9" s="139">
        <f t="shared" si="1"/>
        <v>6</v>
      </c>
      <c r="C9" s="133">
        <f t="shared" si="2"/>
        <v>45347</v>
      </c>
      <c r="D9" s="133">
        <f t="shared" si="0"/>
        <v>45376</v>
      </c>
      <c r="E9" s="195">
        <v>5.4331500000000004</v>
      </c>
      <c r="G9" s="135">
        <v>323.02</v>
      </c>
      <c r="H9" s="136">
        <v>4</v>
      </c>
      <c r="I9" s="135">
        <v>276.43</v>
      </c>
      <c r="J9" s="136">
        <v>-5</v>
      </c>
      <c r="K9" s="135">
        <v>222.51</v>
      </c>
      <c r="L9" s="136">
        <v>2</v>
      </c>
      <c r="M9" s="135">
        <v>203.76</v>
      </c>
      <c r="N9" s="136">
        <v>5</v>
      </c>
      <c r="O9" s="135">
        <v>184.48</v>
      </c>
      <c r="P9" s="136">
        <v>12</v>
      </c>
      <c r="Q9" s="135">
        <v>160.15</v>
      </c>
      <c r="R9" s="136">
        <v>5</v>
      </c>
      <c r="S9" s="135">
        <v>137.31</v>
      </c>
      <c r="T9" s="136">
        <v>10</v>
      </c>
      <c r="U9" s="135">
        <v>116.62</v>
      </c>
      <c r="V9" s="136">
        <v>-5</v>
      </c>
      <c r="W9" s="135">
        <v>93.68</v>
      </c>
      <c r="X9" s="136">
        <v>-2</v>
      </c>
      <c r="Y9" s="135">
        <v>77.63</v>
      </c>
      <c r="Z9" s="136"/>
      <c r="AA9" s="144">
        <v>68.67</v>
      </c>
      <c r="AB9" s="197"/>
      <c r="AC9" s="135">
        <v>117.98</v>
      </c>
    </row>
    <row r="10" spans="1:32" x14ac:dyDescent="0.2">
      <c r="B10" s="139">
        <f t="shared" si="1"/>
        <v>7</v>
      </c>
      <c r="C10" s="133">
        <f t="shared" si="2"/>
        <v>45376</v>
      </c>
      <c r="D10" s="133">
        <f t="shared" si="0"/>
        <v>45407</v>
      </c>
      <c r="E10" s="195">
        <v>5.4095300000000002</v>
      </c>
      <c r="G10" s="135">
        <v>321.60000000000002</v>
      </c>
      <c r="H10" s="136">
        <v>8</v>
      </c>
      <c r="I10" s="135">
        <v>274.85000000000002</v>
      </c>
      <c r="J10" s="136">
        <v>2</v>
      </c>
      <c r="K10" s="135">
        <v>220.75</v>
      </c>
      <c r="L10" s="136">
        <v>-3</v>
      </c>
      <c r="M10" s="135">
        <v>201.91</v>
      </c>
      <c r="N10" s="136">
        <v>6</v>
      </c>
      <c r="O10" s="135">
        <v>182.52</v>
      </c>
      <c r="P10" s="136">
        <v>4</v>
      </c>
      <c r="Q10" s="135">
        <v>158.09</v>
      </c>
      <c r="R10" s="136">
        <v>7</v>
      </c>
      <c r="S10" s="135">
        <v>135.16</v>
      </c>
      <c r="T10" s="136">
        <v>2</v>
      </c>
      <c r="U10" s="135">
        <v>114.42</v>
      </c>
      <c r="V10" s="136">
        <v>8</v>
      </c>
      <c r="W10" s="135">
        <v>91.65</v>
      </c>
      <c r="X10" s="136">
        <v>0.5</v>
      </c>
      <c r="Y10" s="135">
        <v>76.39</v>
      </c>
      <c r="Z10" s="136"/>
      <c r="AA10" s="144">
        <v>69.010000000000005</v>
      </c>
      <c r="AB10" s="197"/>
      <c r="AC10" s="135">
        <v>115.21</v>
      </c>
    </row>
    <row r="11" spans="1:32" x14ac:dyDescent="0.2">
      <c r="B11" s="139">
        <f t="shared" si="1"/>
        <v>8</v>
      </c>
      <c r="C11" s="133">
        <f t="shared" si="2"/>
        <v>45407</v>
      </c>
      <c r="D11" s="133">
        <f t="shared" si="0"/>
        <v>45437</v>
      </c>
      <c r="E11" s="195">
        <v>5.3469800000000003</v>
      </c>
      <c r="G11" s="135">
        <v>323.33000000000004</v>
      </c>
      <c r="H11" s="136">
        <v>12</v>
      </c>
      <c r="I11" s="135">
        <v>276.75</v>
      </c>
      <c r="J11" s="136">
        <v>-1</v>
      </c>
      <c r="K11" s="135">
        <v>222.81</v>
      </c>
      <c r="L11" s="136">
        <v>30</v>
      </c>
      <c r="M11" s="135">
        <v>204.05</v>
      </c>
      <c r="N11" s="136">
        <v>30</v>
      </c>
      <c r="O11" s="135">
        <v>184.73</v>
      </c>
      <c r="P11" s="136">
        <v>15</v>
      </c>
      <c r="Q11" s="135">
        <v>160.36000000000001</v>
      </c>
      <c r="R11" s="136">
        <v>10</v>
      </c>
      <c r="S11" s="135">
        <v>137.48000000000002</v>
      </c>
      <c r="T11" s="136">
        <v>3</v>
      </c>
      <c r="U11" s="135">
        <v>116.73</v>
      </c>
      <c r="V11" s="136"/>
      <c r="W11" s="135">
        <v>93.77</v>
      </c>
      <c r="X11" s="136">
        <v>4</v>
      </c>
      <c r="Y11" s="135">
        <v>77.760000000000005</v>
      </c>
      <c r="Z11" s="136"/>
      <c r="AA11" s="144">
        <v>68.97</v>
      </c>
      <c r="AB11" s="197"/>
      <c r="AC11" s="135">
        <v>117.7</v>
      </c>
    </row>
    <row r="12" spans="1:32" x14ac:dyDescent="0.2">
      <c r="B12" s="139">
        <f t="shared" si="1"/>
        <v>9</v>
      </c>
      <c r="C12" s="133">
        <f t="shared" si="2"/>
        <v>45437</v>
      </c>
      <c r="D12" s="133">
        <f t="shared" si="0"/>
        <v>45468</v>
      </c>
      <c r="E12" s="195">
        <v>5.2872300000000001</v>
      </c>
      <c r="G12" s="135">
        <v>324.82</v>
      </c>
      <c r="H12" s="136"/>
      <c r="I12" s="135">
        <v>278.40999999999997</v>
      </c>
      <c r="J12" s="136">
        <v>4</v>
      </c>
      <c r="K12" s="135">
        <v>224.61</v>
      </c>
      <c r="L12" s="136">
        <v>25</v>
      </c>
      <c r="M12" s="135">
        <v>205.91</v>
      </c>
      <c r="N12" s="136"/>
      <c r="O12" s="135">
        <v>186.66</v>
      </c>
      <c r="P12" s="136">
        <v>3</v>
      </c>
      <c r="Q12" s="135">
        <v>162.35</v>
      </c>
      <c r="R12" s="136"/>
      <c r="S12" s="135">
        <v>139.51</v>
      </c>
      <c r="T12" s="136"/>
      <c r="U12" s="135">
        <v>118.77</v>
      </c>
      <c r="V12" s="136"/>
      <c r="W12" s="135">
        <v>95.67</v>
      </c>
      <c r="X12" s="136"/>
      <c r="Y12" s="135">
        <v>79.099999999999994</v>
      </c>
      <c r="Z12" s="136"/>
      <c r="AA12" s="144">
        <v>69.11</v>
      </c>
      <c r="AB12" s="197"/>
      <c r="AC12" s="135">
        <v>120.08</v>
      </c>
    </row>
    <row r="13" spans="1:32" x14ac:dyDescent="0.2">
      <c r="B13" s="139">
        <f t="shared" si="1"/>
        <v>10</v>
      </c>
      <c r="C13" s="133">
        <f t="shared" si="2"/>
        <v>45468</v>
      </c>
      <c r="D13" s="133">
        <f t="shared" si="0"/>
        <v>45498</v>
      </c>
      <c r="E13" s="195">
        <v>5.2385599999999997</v>
      </c>
      <c r="G13" s="135">
        <v>321.84000000000003</v>
      </c>
      <c r="H13" s="145"/>
      <c r="I13" s="135">
        <v>275.09000000000003</v>
      </c>
      <c r="J13" s="136">
        <v>20</v>
      </c>
      <c r="K13" s="135">
        <v>220.94</v>
      </c>
      <c r="L13" s="136">
        <v>15</v>
      </c>
      <c r="M13" s="135">
        <v>202.05</v>
      </c>
      <c r="N13" s="136"/>
      <c r="O13" s="135">
        <v>182.61</v>
      </c>
      <c r="P13" s="136"/>
      <c r="Q13" s="135">
        <v>158.1</v>
      </c>
      <c r="R13" s="136"/>
      <c r="S13" s="135">
        <v>135.09</v>
      </c>
      <c r="T13" s="136"/>
      <c r="U13" s="135">
        <v>114.28</v>
      </c>
      <c r="V13" s="136"/>
      <c r="W13" s="135">
        <v>91.49</v>
      </c>
      <c r="X13" s="136"/>
      <c r="Y13" s="135">
        <v>76.459999999999994</v>
      </c>
      <c r="Z13" s="136"/>
      <c r="AA13" s="144">
        <v>69.52</v>
      </c>
      <c r="AB13" s="197"/>
      <c r="AC13" s="135">
        <v>115.71</v>
      </c>
    </row>
    <row r="14" spans="1:32" x14ac:dyDescent="0.2">
      <c r="B14" s="139">
        <f t="shared" si="1"/>
        <v>11</v>
      </c>
      <c r="C14" s="133">
        <f t="shared" si="2"/>
        <v>45498</v>
      </c>
      <c r="D14" s="133">
        <f t="shared" si="0"/>
        <v>45529</v>
      </c>
      <c r="E14" s="195">
        <v>5.15116</v>
      </c>
      <c r="G14" s="135">
        <v>313.51</v>
      </c>
      <c r="H14" s="145"/>
      <c r="I14" s="135">
        <v>270.38</v>
      </c>
      <c r="J14" s="136">
        <v>25</v>
      </c>
      <c r="K14" s="135">
        <v>220.37</v>
      </c>
      <c r="L14" s="136">
        <v>12</v>
      </c>
      <c r="M14" s="135">
        <v>203.83</v>
      </c>
      <c r="N14" s="136"/>
      <c r="O14" s="135">
        <v>186.98</v>
      </c>
      <c r="P14" s="136"/>
      <c r="Q14" s="135">
        <v>165.42</v>
      </c>
      <c r="R14" s="136"/>
      <c r="S14" s="135">
        <v>145.74</v>
      </c>
      <c r="T14" s="136"/>
      <c r="U14" s="135">
        <v>128.69999999999999</v>
      </c>
      <c r="V14" s="136"/>
      <c r="W14" s="135">
        <v>109.83</v>
      </c>
      <c r="X14" s="136"/>
      <c r="Y14" s="135">
        <v>97.62</v>
      </c>
      <c r="Z14" s="136"/>
      <c r="AA14" s="144">
        <v>90.73</v>
      </c>
      <c r="AB14" s="197"/>
      <c r="AC14" s="135">
        <v>125.75</v>
      </c>
    </row>
    <row r="15" spans="1:32" x14ac:dyDescent="0.2">
      <c r="B15" s="138">
        <f t="shared" si="1"/>
        <v>12</v>
      </c>
      <c r="C15" s="137">
        <f t="shared" si="2"/>
        <v>45529</v>
      </c>
      <c r="D15" s="137">
        <f t="shared" si="0"/>
        <v>45560</v>
      </c>
      <c r="E15" s="195">
        <v>5.0869799999999996</v>
      </c>
      <c r="G15" s="135">
        <v>305.02999999999997</v>
      </c>
      <c r="H15" s="136"/>
      <c r="I15" s="135">
        <v>265.23</v>
      </c>
      <c r="J15" s="136"/>
      <c r="K15" s="135">
        <v>218.96</v>
      </c>
      <c r="L15" s="136"/>
      <c r="M15" s="135">
        <v>204.52</v>
      </c>
      <c r="N15" s="136"/>
      <c r="O15" s="135">
        <v>189.98</v>
      </c>
      <c r="P15" s="136"/>
      <c r="Q15" s="135">
        <v>171</v>
      </c>
      <c r="R15" s="136"/>
      <c r="S15" s="135">
        <v>154.26</v>
      </c>
      <c r="T15" s="136"/>
      <c r="U15" s="135">
        <v>140.54</v>
      </c>
      <c r="V15" s="136"/>
      <c r="W15" s="135">
        <v>125.27000000000001</v>
      </c>
      <c r="X15" s="136"/>
      <c r="Y15" s="135">
        <v>116.23</v>
      </c>
      <c r="Z15" s="136"/>
      <c r="AA15" s="144">
        <v>110.49</v>
      </c>
      <c r="AB15" s="197"/>
      <c r="AC15" s="135">
        <v>135.05000000000001</v>
      </c>
    </row>
    <row r="16" spans="1:32" x14ac:dyDescent="0.2">
      <c r="B16" s="139">
        <f t="shared" si="1"/>
        <v>13</v>
      </c>
      <c r="C16" s="133">
        <f t="shared" si="2"/>
        <v>45560</v>
      </c>
      <c r="D16" s="133">
        <f t="shared" si="0"/>
        <v>45590</v>
      </c>
      <c r="E16" s="195">
        <v>4.7367600000000003</v>
      </c>
      <c r="G16" s="135">
        <v>291.66999999999996</v>
      </c>
      <c r="H16" s="136"/>
      <c r="I16" s="135">
        <v>254.91999999999996</v>
      </c>
      <c r="J16" s="136"/>
      <c r="K16" s="135">
        <v>212.39</v>
      </c>
      <c r="L16" s="136"/>
      <c r="M16" s="135">
        <v>200.15</v>
      </c>
      <c r="N16" s="136"/>
      <c r="O16" s="135">
        <v>188.16</v>
      </c>
      <c r="P16" s="136"/>
      <c r="Q16" s="135">
        <v>172.15</v>
      </c>
      <c r="R16" s="136"/>
      <c r="S16" s="135">
        <v>158.94</v>
      </c>
      <c r="T16" s="136"/>
      <c r="U16" s="135">
        <v>149.44999999999999</v>
      </c>
      <c r="V16" s="136"/>
      <c r="W16" s="135">
        <v>139.06</v>
      </c>
      <c r="X16" s="136"/>
      <c r="Y16" s="135">
        <v>135.07</v>
      </c>
      <c r="Z16" s="136"/>
      <c r="AA16" s="144">
        <v>133.07</v>
      </c>
      <c r="AB16" s="197"/>
      <c r="AC16" s="135">
        <v>139.84</v>
      </c>
    </row>
    <row r="17" spans="2:29" x14ac:dyDescent="0.2">
      <c r="B17" s="139">
        <f t="shared" si="1"/>
        <v>14</v>
      </c>
      <c r="C17" s="133">
        <f t="shared" si="2"/>
        <v>45590</v>
      </c>
      <c r="D17" s="133">
        <f t="shared" si="0"/>
        <v>45621</v>
      </c>
      <c r="E17" s="195">
        <v>4.72532</v>
      </c>
      <c r="G17" s="135">
        <v>291.3</v>
      </c>
      <c r="H17" s="136"/>
      <c r="I17" s="135">
        <v>254.63</v>
      </c>
      <c r="J17" s="136"/>
      <c r="K17" s="135">
        <v>212.2</v>
      </c>
      <c r="L17" s="136"/>
      <c r="M17" s="135">
        <v>200.02</v>
      </c>
      <c r="N17" s="136"/>
      <c r="O17" s="135">
        <v>188.1</v>
      </c>
      <c r="P17" s="136"/>
      <c r="Q17" s="135">
        <v>172.19</v>
      </c>
      <c r="R17" s="136"/>
      <c r="S17" s="135">
        <v>159.12</v>
      </c>
      <c r="T17" s="136"/>
      <c r="U17" s="135">
        <v>149.78</v>
      </c>
      <c r="V17" s="136"/>
      <c r="W17" s="135">
        <v>139.59</v>
      </c>
      <c r="X17" s="136"/>
      <c r="Y17" s="135">
        <v>135.78</v>
      </c>
      <c r="Z17" s="136"/>
      <c r="AA17" s="144">
        <v>133.88999999999999</v>
      </c>
      <c r="AB17" s="197"/>
      <c r="AC17" s="135">
        <v>139.80000000000001</v>
      </c>
    </row>
    <row r="18" spans="2:29" x14ac:dyDescent="0.2">
      <c r="B18" s="139">
        <f t="shared" si="1"/>
        <v>15</v>
      </c>
      <c r="C18" s="133">
        <f t="shared" si="2"/>
        <v>45621</v>
      </c>
      <c r="D18" s="133">
        <f t="shared" si="0"/>
        <v>45651</v>
      </c>
      <c r="E18" s="195">
        <v>4.7247000000000003</v>
      </c>
      <c r="G18" s="135">
        <v>291.34000000000003</v>
      </c>
      <c r="H18" s="136"/>
      <c r="I18" s="135">
        <v>254.65999999999997</v>
      </c>
      <c r="J18" s="136"/>
      <c r="K18" s="135">
        <v>212.2</v>
      </c>
      <c r="L18" s="136"/>
      <c r="M18" s="135">
        <v>200.01</v>
      </c>
      <c r="N18" s="136"/>
      <c r="O18" s="135">
        <v>188.08</v>
      </c>
      <c r="P18" s="136"/>
      <c r="Q18" s="135">
        <v>172.16</v>
      </c>
      <c r="R18" s="136"/>
      <c r="S18" s="135">
        <v>159.09</v>
      </c>
      <c r="T18" s="136"/>
      <c r="U18" s="135">
        <v>149.78</v>
      </c>
      <c r="V18" s="136"/>
      <c r="W18" s="135">
        <v>139.6</v>
      </c>
      <c r="X18" s="136"/>
      <c r="Y18" s="135">
        <v>135.83000000000001</v>
      </c>
      <c r="Z18" s="136"/>
      <c r="AA18" s="144">
        <v>133.96</v>
      </c>
      <c r="AB18" s="197"/>
      <c r="AC18" s="135">
        <v>139.78</v>
      </c>
    </row>
    <row r="19" spans="2:29" x14ac:dyDescent="0.2">
      <c r="B19" s="139">
        <f t="shared" si="1"/>
        <v>16</v>
      </c>
      <c r="C19" s="133">
        <f t="shared" si="2"/>
        <v>45651</v>
      </c>
      <c r="D19" s="133">
        <f t="shared" si="0"/>
        <v>45682</v>
      </c>
      <c r="E19" s="195">
        <v>4.72532</v>
      </c>
      <c r="G19" s="135">
        <v>291.38</v>
      </c>
      <c r="H19" s="136"/>
      <c r="I19" s="135">
        <v>254.68</v>
      </c>
      <c r="J19" s="136"/>
      <c r="K19" s="135">
        <v>212.19</v>
      </c>
      <c r="L19" s="136"/>
      <c r="M19" s="135">
        <v>199.99</v>
      </c>
      <c r="N19" s="136"/>
      <c r="O19" s="135">
        <v>188.05</v>
      </c>
      <c r="P19" s="136"/>
      <c r="Q19" s="135">
        <v>172.13</v>
      </c>
      <c r="R19" s="136"/>
      <c r="S19" s="135">
        <v>159.07</v>
      </c>
      <c r="T19" s="136"/>
      <c r="U19" s="135">
        <v>149.77000000000001</v>
      </c>
      <c r="V19" s="136"/>
      <c r="W19" s="135">
        <v>139.62</v>
      </c>
      <c r="X19" s="136"/>
      <c r="Y19" s="135">
        <v>135.88</v>
      </c>
      <c r="Z19" s="136"/>
      <c r="AA19" s="144">
        <v>134.03</v>
      </c>
      <c r="AB19" s="197"/>
      <c r="AC19" s="135">
        <v>139.75</v>
      </c>
    </row>
    <row r="20" spans="2:29" x14ac:dyDescent="0.2">
      <c r="B20" s="139">
        <f t="shared" si="1"/>
        <v>17</v>
      </c>
      <c r="C20" s="133">
        <f t="shared" si="2"/>
        <v>45682</v>
      </c>
      <c r="D20" s="133">
        <f t="shared" si="0"/>
        <v>45713</v>
      </c>
      <c r="E20" s="195">
        <v>4.7250100000000002</v>
      </c>
      <c r="G20" s="135">
        <v>292.97000000000003</v>
      </c>
      <c r="H20" s="136"/>
      <c r="I20" s="135">
        <v>256.43</v>
      </c>
      <c r="J20" s="136"/>
      <c r="K20" s="135">
        <v>213.96</v>
      </c>
      <c r="L20" s="136"/>
      <c r="M20" s="135">
        <v>201.71</v>
      </c>
      <c r="N20" s="136"/>
      <c r="O20" s="135">
        <v>189.65</v>
      </c>
      <c r="P20" s="136"/>
      <c r="Q20" s="135">
        <v>173.53</v>
      </c>
      <c r="R20" s="136"/>
      <c r="S20" s="135">
        <v>160.16999999999999</v>
      </c>
      <c r="T20" s="136"/>
      <c r="U20" s="135">
        <v>150.44999999999999</v>
      </c>
      <c r="V20" s="136"/>
      <c r="W20" s="135">
        <v>139.79</v>
      </c>
      <c r="X20" s="136"/>
      <c r="Y20" s="135">
        <v>135.47999999999999</v>
      </c>
      <c r="Z20" s="136"/>
      <c r="AA20" s="144">
        <v>133.09</v>
      </c>
      <c r="AB20" s="197"/>
      <c r="AC20" s="135">
        <v>140.80000000000001</v>
      </c>
    </row>
    <row r="21" spans="2:29" x14ac:dyDescent="0.2">
      <c r="B21" s="139">
        <f t="shared" si="1"/>
        <v>18</v>
      </c>
      <c r="C21" s="133">
        <f t="shared" si="2"/>
        <v>45713</v>
      </c>
      <c r="D21" s="133">
        <f t="shared" si="0"/>
        <v>45741</v>
      </c>
      <c r="E21" s="195">
        <v>4.7240799999999998</v>
      </c>
      <c r="G21" s="135">
        <v>294.58000000000004</v>
      </c>
      <c r="H21" s="136"/>
      <c r="I21" s="135">
        <v>258.23</v>
      </c>
      <c r="J21" s="136"/>
      <c r="K21" s="135">
        <v>215.82</v>
      </c>
      <c r="L21" s="136"/>
      <c r="M21" s="135">
        <v>203.52</v>
      </c>
      <c r="N21" s="136"/>
      <c r="O21" s="135">
        <v>191.36</v>
      </c>
      <c r="P21" s="136"/>
      <c r="Q21" s="135">
        <v>175.07</v>
      </c>
      <c r="R21" s="136"/>
      <c r="S21" s="135">
        <v>161.41999999999999</v>
      </c>
      <c r="T21" s="136"/>
      <c r="U21" s="135">
        <v>151.30000000000001</v>
      </c>
      <c r="V21" s="136"/>
      <c r="W21" s="135">
        <v>140.13</v>
      </c>
      <c r="X21" s="136"/>
      <c r="Y21" s="135">
        <v>135.24</v>
      </c>
      <c r="Z21" s="136"/>
      <c r="AA21" s="144">
        <v>132.28</v>
      </c>
      <c r="AB21" s="197"/>
      <c r="AC21" s="135">
        <v>141.84</v>
      </c>
    </row>
    <row r="22" spans="2:29" x14ac:dyDescent="0.2">
      <c r="B22" s="139">
        <f t="shared" si="1"/>
        <v>19</v>
      </c>
      <c r="C22" s="133">
        <f t="shared" si="2"/>
        <v>45741</v>
      </c>
      <c r="D22" s="133">
        <f t="shared" si="0"/>
        <v>45772</v>
      </c>
      <c r="E22" s="195">
        <v>4.2025499999999996</v>
      </c>
      <c r="G22" s="135">
        <v>291.62</v>
      </c>
      <c r="H22" s="136"/>
      <c r="I22" s="135">
        <v>254.89</v>
      </c>
      <c r="J22" s="136"/>
      <c r="K22" s="135">
        <v>212.32</v>
      </c>
      <c r="L22" s="136"/>
      <c r="M22" s="135">
        <v>200.07</v>
      </c>
      <c r="N22" s="136"/>
      <c r="O22" s="135">
        <v>188.09</v>
      </c>
      <c r="P22" s="136"/>
      <c r="Q22" s="135">
        <v>172.14</v>
      </c>
      <c r="R22" s="136"/>
      <c r="S22" s="135">
        <v>159.07</v>
      </c>
      <c r="T22" s="136"/>
      <c r="U22" s="135">
        <v>149.79</v>
      </c>
      <c r="V22" s="136"/>
      <c r="W22" s="135">
        <v>139.68</v>
      </c>
      <c r="X22" s="136"/>
      <c r="Y22" s="135">
        <v>135.97999999999999</v>
      </c>
      <c r="Z22" s="136"/>
      <c r="AA22" s="144">
        <v>134.15</v>
      </c>
      <c r="AB22" s="197"/>
      <c r="AC22" s="135">
        <v>139.69</v>
      </c>
    </row>
    <row r="23" spans="2:29" x14ac:dyDescent="0.2">
      <c r="B23" s="139">
        <f t="shared" si="1"/>
        <v>20</v>
      </c>
      <c r="C23" s="133">
        <f t="shared" si="2"/>
        <v>45772</v>
      </c>
      <c r="D23" s="133">
        <f t="shared" si="0"/>
        <v>45802</v>
      </c>
      <c r="E23" s="195">
        <v>4.1688099999999997</v>
      </c>
      <c r="G23" s="135">
        <v>291.53999999999996</v>
      </c>
      <c r="H23" s="136"/>
      <c r="I23" s="135">
        <v>254.77999999999997</v>
      </c>
      <c r="J23" s="136"/>
      <c r="K23" s="135">
        <v>212.18</v>
      </c>
      <c r="L23" s="136"/>
      <c r="M23" s="135">
        <v>199.92</v>
      </c>
      <c r="N23" s="136"/>
      <c r="O23" s="135">
        <v>187.94</v>
      </c>
      <c r="P23" s="136"/>
      <c r="Q23" s="135">
        <v>172</v>
      </c>
      <c r="R23" s="136"/>
      <c r="S23" s="135">
        <v>158.96</v>
      </c>
      <c r="T23" s="136"/>
      <c r="U23" s="135">
        <v>149.72999999999999</v>
      </c>
      <c r="V23" s="136"/>
      <c r="W23" s="135">
        <v>139.69999999999999</v>
      </c>
      <c r="X23" s="136"/>
      <c r="Y23" s="135">
        <v>136.07</v>
      </c>
      <c r="Z23" s="136"/>
      <c r="AA23" s="144">
        <v>134.30000000000001</v>
      </c>
      <c r="AB23" s="197"/>
      <c r="AC23" s="135">
        <v>139.65</v>
      </c>
    </row>
    <row r="24" spans="2:29" x14ac:dyDescent="0.2">
      <c r="B24" s="139">
        <f t="shared" si="1"/>
        <v>21</v>
      </c>
      <c r="C24" s="133">
        <f t="shared" si="2"/>
        <v>45802</v>
      </c>
      <c r="D24" s="133">
        <f t="shared" si="0"/>
        <v>45833</v>
      </c>
      <c r="E24" s="195">
        <v>4.1683300000000001</v>
      </c>
      <c r="G24" s="135">
        <v>291.57</v>
      </c>
      <c r="H24" s="136"/>
      <c r="I24" s="135">
        <v>254.78999999999996</v>
      </c>
      <c r="J24" s="136"/>
      <c r="K24" s="135">
        <v>212.16</v>
      </c>
      <c r="L24" s="136"/>
      <c r="M24" s="135">
        <v>199.89</v>
      </c>
      <c r="N24" s="136"/>
      <c r="O24" s="135">
        <v>187.9</v>
      </c>
      <c r="P24" s="136"/>
      <c r="Q24" s="135">
        <v>171.96</v>
      </c>
      <c r="R24" s="136"/>
      <c r="S24" s="135">
        <v>158.93</v>
      </c>
      <c r="T24" s="136"/>
      <c r="U24" s="135">
        <v>149.72</v>
      </c>
      <c r="V24" s="136"/>
      <c r="W24" s="135">
        <v>139.72</v>
      </c>
      <c r="X24" s="136"/>
      <c r="Y24" s="135">
        <v>136.12</v>
      </c>
      <c r="Z24" s="136"/>
      <c r="AA24" s="144">
        <v>134.38</v>
      </c>
      <c r="AB24" s="197"/>
      <c r="AC24" s="135">
        <v>139.63</v>
      </c>
    </row>
    <row r="25" spans="2:29" x14ac:dyDescent="0.2">
      <c r="B25" s="139">
        <f t="shared" si="1"/>
        <v>22</v>
      </c>
      <c r="C25" s="133">
        <f t="shared" si="2"/>
        <v>45833</v>
      </c>
      <c r="D25" s="133">
        <f t="shared" si="0"/>
        <v>45863</v>
      </c>
      <c r="E25" s="195">
        <v>4.1680900000000003</v>
      </c>
      <c r="G25" s="135">
        <v>291.61</v>
      </c>
      <c r="H25" s="136"/>
      <c r="I25" s="135">
        <v>254.81</v>
      </c>
      <c r="J25" s="136"/>
      <c r="K25" s="135">
        <v>212.15</v>
      </c>
      <c r="L25" s="136"/>
      <c r="M25" s="135">
        <v>199.87</v>
      </c>
      <c r="N25" s="136"/>
      <c r="O25" s="135">
        <v>187.87</v>
      </c>
      <c r="P25" s="136"/>
      <c r="Q25" s="135">
        <v>171.92</v>
      </c>
      <c r="R25" s="136"/>
      <c r="S25" s="135">
        <v>158.9</v>
      </c>
      <c r="T25" s="136"/>
      <c r="U25" s="135">
        <v>149.71</v>
      </c>
      <c r="V25" s="136"/>
      <c r="W25" s="135">
        <v>139.72999999999999</v>
      </c>
      <c r="X25" s="136"/>
      <c r="Y25" s="135">
        <v>136.16999999999999</v>
      </c>
      <c r="Z25" s="136"/>
      <c r="AA25" s="144">
        <v>134.44999999999999</v>
      </c>
      <c r="AB25" s="197"/>
      <c r="AC25" s="135">
        <v>139.59</v>
      </c>
    </row>
    <row r="26" spans="2:29" x14ac:dyDescent="0.2">
      <c r="B26" s="139">
        <f t="shared" si="1"/>
        <v>23</v>
      </c>
      <c r="C26" s="133">
        <f t="shared" si="2"/>
        <v>45863</v>
      </c>
      <c r="D26" s="133">
        <f t="shared" si="0"/>
        <v>45894</v>
      </c>
      <c r="E26" s="195">
        <v>4.1685699999999999</v>
      </c>
      <c r="G26" s="135">
        <v>280.58000000000004</v>
      </c>
      <c r="H26" s="136"/>
      <c r="I26" s="135">
        <v>245.61</v>
      </c>
      <c r="J26" s="136"/>
      <c r="K26" s="135">
        <v>205.07</v>
      </c>
      <c r="L26" s="136"/>
      <c r="M26" s="135">
        <v>193.96</v>
      </c>
      <c r="N26" s="136"/>
      <c r="O26" s="135">
        <v>183.19</v>
      </c>
      <c r="P26" s="136"/>
      <c r="Q26" s="135">
        <v>168.5</v>
      </c>
      <c r="R26" s="136"/>
      <c r="S26" s="135">
        <v>156.68</v>
      </c>
      <c r="T26" s="136"/>
      <c r="U26" s="135">
        <v>148.53</v>
      </c>
      <c r="V26" s="136"/>
      <c r="W26" s="135">
        <v>139.33000000000001</v>
      </c>
      <c r="X26" s="136"/>
      <c r="Y26" s="135">
        <v>136.24</v>
      </c>
      <c r="Z26" s="136"/>
      <c r="AA26" s="144">
        <v>134.69</v>
      </c>
      <c r="AB26" s="197"/>
      <c r="AC26" s="135">
        <v>139.16</v>
      </c>
    </row>
    <row r="27" spans="2:29" x14ac:dyDescent="0.2">
      <c r="B27" s="138">
        <f t="shared" si="1"/>
        <v>24</v>
      </c>
      <c r="C27" s="137">
        <f t="shared" si="2"/>
        <v>45894</v>
      </c>
      <c r="D27" s="137">
        <f t="shared" si="0"/>
        <v>45925</v>
      </c>
      <c r="E27" s="195">
        <v>4.1683300000000001</v>
      </c>
      <c r="G27" s="135">
        <v>269.18</v>
      </c>
      <c r="H27" s="136"/>
      <c r="I27" s="135">
        <v>235.96</v>
      </c>
      <c r="J27" s="136"/>
      <c r="K27" s="135">
        <v>197.47</v>
      </c>
      <c r="L27" s="136"/>
      <c r="M27" s="135">
        <v>187.49</v>
      </c>
      <c r="N27" s="136"/>
      <c r="O27" s="135">
        <v>177.92</v>
      </c>
      <c r="P27" s="136"/>
      <c r="Q27" s="135">
        <v>164.48</v>
      </c>
      <c r="R27" s="136"/>
      <c r="S27" s="135">
        <v>153.87</v>
      </c>
      <c r="T27" s="136"/>
      <c r="U27" s="135">
        <v>146.84</v>
      </c>
      <c r="V27" s="136"/>
      <c r="W27" s="135">
        <v>138.54</v>
      </c>
      <c r="X27" s="136"/>
      <c r="Y27" s="135">
        <v>136.05000000000001</v>
      </c>
      <c r="Z27" s="136"/>
      <c r="AA27" s="144">
        <v>134.81</v>
      </c>
      <c r="AC27" s="135">
        <v>138.11000000000001</v>
      </c>
    </row>
    <row r="28" spans="2:29" x14ac:dyDescent="0.2">
      <c r="B28" s="139">
        <f t="shared" si="1"/>
        <v>25</v>
      </c>
      <c r="C28" s="133">
        <f t="shared" si="2"/>
        <v>45925</v>
      </c>
      <c r="D28" s="133">
        <f t="shared" si="0"/>
        <v>45955</v>
      </c>
      <c r="E28" s="195">
        <v>3.9167200000000002</v>
      </c>
      <c r="G28" s="135">
        <v>197.82</v>
      </c>
      <c r="H28" s="136"/>
      <c r="I28" s="135">
        <v>180.31</v>
      </c>
      <c r="J28" s="136"/>
      <c r="K28" s="135">
        <v>171.18</v>
      </c>
      <c r="L28" s="136">
        <v>1</v>
      </c>
      <c r="M28" s="135">
        <v>167.18</v>
      </c>
      <c r="N28" s="136">
        <v>1</v>
      </c>
      <c r="O28" s="135">
        <v>164.8</v>
      </c>
      <c r="P28" s="136">
        <v>1</v>
      </c>
      <c r="Q28" s="135">
        <v>159.22</v>
      </c>
      <c r="R28" s="136">
        <v>1</v>
      </c>
      <c r="S28" s="135">
        <v>152.6</v>
      </c>
      <c r="T28" s="136">
        <v>1</v>
      </c>
      <c r="U28" s="135">
        <v>151.54</v>
      </c>
      <c r="V28" s="136">
        <v>1</v>
      </c>
      <c r="W28" s="135">
        <v>147.03</v>
      </c>
      <c r="X28" s="136">
        <v>1</v>
      </c>
      <c r="Y28" s="135">
        <v>150</v>
      </c>
      <c r="Z28" s="136">
        <v>1</v>
      </c>
      <c r="AA28" s="144">
        <v>156.30000000000001</v>
      </c>
      <c r="AB28" s="197">
        <v>1</v>
      </c>
      <c r="AC28" s="135">
        <v>137.12</v>
      </c>
    </row>
    <row r="29" spans="2:29" x14ac:dyDescent="0.2">
      <c r="B29" s="139">
        <f t="shared" si="1"/>
        <v>26</v>
      </c>
      <c r="C29" s="133">
        <f t="shared" si="2"/>
        <v>45955</v>
      </c>
      <c r="D29" s="133">
        <f t="shared" si="0"/>
        <v>45986</v>
      </c>
      <c r="E29" s="195">
        <v>3.8540899999999998</v>
      </c>
      <c r="G29" s="135">
        <v>197.82</v>
      </c>
      <c r="H29" s="136"/>
      <c r="I29" s="135">
        <v>180.31</v>
      </c>
      <c r="J29" s="136"/>
      <c r="K29" s="135">
        <v>171.19</v>
      </c>
      <c r="L29" s="136"/>
      <c r="M29" s="135">
        <v>167.19</v>
      </c>
      <c r="N29" s="136"/>
      <c r="O29" s="135">
        <v>164.8</v>
      </c>
      <c r="P29" s="136">
        <v>-1</v>
      </c>
      <c r="Q29" s="135">
        <v>159.22</v>
      </c>
      <c r="R29" s="136"/>
      <c r="S29" s="135">
        <v>152.6</v>
      </c>
      <c r="T29" s="136"/>
      <c r="U29" s="135">
        <v>151.54</v>
      </c>
      <c r="V29" s="136">
        <v>-1</v>
      </c>
      <c r="W29" s="135">
        <v>147.03</v>
      </c>
      <c r="X29" s="136"/>
      <c r="Y29" s="135">
        <v>150</v>
      </c>
      <c r="Z29" s="136"/>
      <c r="AA29" s="144">
        <v>156.30000000000001</v>
      </c>
      <c r="AB29" s="197">
        <v>-1</v>
      </c>
      <c r="AC29" s="135">
        <v>137.12</v>
      </c>
    </row>
    <row r="30" spans="2:29" x14ac:dyDescent="0.2">
      <c r="B30" s="139">
        <f t="shared" si="1"/>
        <v>27</v>
      </c>
      <c r="C30" s="133">
        <f t="shared" si="2"/>
        <v>45986</v>
      </c>
      <c r="D30" s="133">
        <f t="shared" si="0"/>
        <v>46016</v>
      </c>
      <c r="E30" s="195">
        <v>3.8538800000000002</v>
      </c>
      <c r="G30" s="135">
        <v>197.84</v>
      </c>
      <c r="H30" s="136"/>
      <c r="I30" s="135">
        <v>180.33</v>
      </c>
      <c r="J30" s="136"/>
      <c r="K30" s="135">
        <v>171.2</v>
      </c>
      <c r="L30" s="136"/>
      <c r="M30" s="135">
        <v>167.2</v>
      </c>
      <c r="N30" s="136"/>
      <c r="O30" s="135">
        <v>164.8</v>
      </c>
      <c r="P30" s="136"/>
      <c r="Q30" s="135">
        <v>159.22</v>
      </c>
      <c r="R30" s="136"/>
      <c r="S30" s="135">
        <v>152.6</v>
      </c>
      <c r="T30" s="136"/>
      <c r="U30" s="135">
        <v>151.53</v>
      </c>
      <c r="V30" s="136"/>
      <c r="W30" s="135">
        <v>147.02000000000001</v>
      </c>
      <c r="X30" s="136"/>
      <c r="Y30" s="135">
        <v>149.97999999999999</v>
      </c>
      <c r="Z30" s="136"/>
      <c r="AA30" s="144">
        <v>156.28</v>
      </c>
      <c r="AB30" s="201">
        <v>0.5</v>
      </c>
      <c r="AC30" s="135">
        <v>137.11000000000001</v>
      </c>
    </row>
    <row r="31" spans="2:29" x14ac:dyDescent="0.2">
      <c r="B31" s="139">
        <f t="shared" si="1"/>
        <v>28</v>
      </c>
      <c r="C31" s="133">
        <f t="shared" si="2"/>
        <v>46016</v>
      </c>
      <c r="D31" s="133">
        <f t="shared" si="0"/>
        <v>46047</v>
      </c>
      <c r="E31" s="195">
        <v>3.8544999999999998</v>
      </c>
      <c r="G31" s="135">
        <v>197.85</v>
      </c>
      <c r="H31" s="136"/>
      <c r="I31" s="135">
        <v>180.34</v>
      </c>
      <c r="J31" s="136"/>
      <c r="K31" s="135">
        <v>171.21</v>
      </c>
      <c r="L31" s="136"/>
      <c r="M31" s="135">
        <v>167.2</v>
      </c>
      <c r="N31" s="136"/>
      <c r="O31" s="135">
        <v>164.81</v>
      </c>
      <c r="P31" s="136"/>
      <c r="Q31" s="135">
        <v>159.22</v>
      </c>
      <c r="R31" s="136"/>
      <c r="S31" s="135">
        <v>152.6</v>
      </c>
      <c r="T31" s="136"/>
      <c r="U31" s="135">
        <v>151.53</v>
      </c>
      <c r="V31" s="136"/>
      <c r="W31" s="135">
        <v>147.02000000000001</v>
      </c>
      <c r="X31" s="136"/>
      <c r="Y31" s="135">
        <v>149.99</v>
      </c>
      <c r="Z31" s="136"/>
      <c r="AA31" s="144">
        <v>156.29</v>
      </c>
      <c r="AC31" s="135">
        <v>137.11000000000001</v>
      </c>
    </row>
    <row r="32" spans="2:29" x14ac:dyDescent="0.2">
      <c r="B32" s="139">
        <f t="shared" si="1"/>
        <v>29</v>
      </c>
      <c r="C32" s="133">
        <f t="shared" si="2"/>
        <v>46047</v>
      </c>
      <c r="D32" s="133">
        <f t="shared" si="0"/>
        <v>46078</v>
      </c>
      <c r="E32" s="195">
        <v>3.8540899999999998</v>
      </c>
      <c r="G32" s="135">
        <v>197.85</v>
      </c>
      <c r="H32" s="136"/>
      <c r="I32" s="135">
        <v>180.34</v>
      </c>
      <c r="J32" s="136"/>
      <c r="K32" s="135">
        <v>171.21</v>
      </c>
      <c r="L32" s="136"/>
      <c r="M32" s="135">
        <v>167.2</v>
      </c>
      <c r="N32" s="136"/>
      <c r="O32" s="135">
        <v>164.81</v>
      </c>
      <c r="P32" s="136"/>
      <c r="Q32" s="135">
        <v>159.22</v>
      </c>
      <c r="R32" s="136"/>
      <c r="S32" s="135">
        <v>152.6</v>
      </c>
      <c r="T32" s="136"/>
      <c r="U32" s="135">
        <v>151.53</v>
      </c>
      <c r="V32" s="136"/>
      <c r="W32" s="135">
        <v>147.02000000000001</v>
      </c>
      <c r="X32" s="136"/>
      <c r="Y32" s="135">
        <v>149.99</v>
      </c>
      <c r="Z32" s="136"/>
      <c r="AA32" s="144">
        <v>156.29</v>
      </c>
      <c r="AC32" s="135">
        <v>137.11000000000001</v>
      </c>
    </row>
    <row r="33" spans="2:29" x14ac:dyDescent="0.2">
      <c r="B33" s="139">
        <f t="shared" si="1"/>
        <v>30</v>
      </c>
      <c r="C33" s="133">
        <f t="shared" si="2"/>
        <v>46078</v>
      </c>
      <c r="D33" s="133">
        <f t="shared" si="0"/>
        <v>46106</v>
      </c>
      <c r="E33" s="195">
        <v>3.8534700000000002</v>
      </c>
      <c r="G33" s="135">
        <v>197.86</v>
      </c>
      <c r="H33" s="136"/>
      <c r="I33" s="135">
        <v>180.35</v>
      </c>
      <c r="J33" s="136"/>
      <c r="K33" s="135">
        <v>171.22</v>
      </c>
      <c r="L33" s="136"/>
      <c r="M33" s="135">
        <v>167.2</v>
      </c>
      <c r="N33" s="136"/>
      <c r="O33" s="135">
        <v>164.81</v>
      </c>
      <c r="P33" s="136"/>
      <c r="Q33" s="135">
        <v>159.22</v>
      </c>
      <c r="R33" s="136"/>
      <c r="S33" s="135">
        <v>152.6</v>
      </c>
      <c r="T33" s="136"/>
      <c r="U33" s="135">
        <v>151.53</v>
      </c>
      <c r="V33" s="136"/>
      <c r="W33" s="135">
        <v>147.03</v>
      </c>
      <c r="X33" s="136"/>
      <c r="Y33" s="135">
        <v>149.99</v>
      </c>
      <c r="Z33" s="136"/>
      <c r="AA33" s="144">
        <v>156.29</v>
      </c>
      <c r="AC33" s="135">
        <v>137.12</v>
      </c>
    </row>
    <row r="34" spans="2:29" x14ac:dyDescent="0.2">
      <c r="B34" s="139">
        <f t="shared" si="1"/>
        <v>31</v>
      </c>
      <c r="C34" s="133">
        <f t="shared" si="2"/>
        <v>46106</v>
      </c>
      <c r="D34" s="133">
        <f t="shared" si="0"/>
        <v>46137</v>
      </c>
      <c r="E34" s="195">
        <v>3.8544999999999998</v>
      </c>
      <c r="G34" s="135">
        <v>197.87</v>
      </c>
      <c r="H34" s="136"/>
      <c r="I34" s="135">
        <v>180.36</v>
      </c>
      <c r="J34" s="136"/>
      <c r="K34" s="135">
        <v>171.22</v>
      </c>
      <c r="L34" s="136"/>
      <c r="M34" s="135">
        <v>167.21</v>
      </c>
      <c r="N34" s="136"/>
      <c r="O34" s="135">
        <v>164.81</v>
      </c>
      <c r="P34" s="136"/>
      <c r="Q34" s="135">
        <v>159.22</v>
      </c>
      <c r="R34" s="136"/>
      <c r="S34" s="135">
        <v>152.6</v>
      </c>
      <c r="T34" s="136"/>
      <c r="U34" s="135">
        <v>151.53</v>
      </c>
      <c r="V34" s="136"/>
      <c r="W34" s="135">
        <v>147.02000000000001</v>
      </c>
      <c r="X34" s="136"/>
      <c r="Y34" s="135">
        <v>149.99</v>
      </c>
      <c r="Z34" s="136"/>
      <c r="AA34" s="144">
        <v>156.29</v>
      </c>
      <c r="AC34" s="135">
        <v>137.11000000000001</v>
      </c>
    </row>
    <row r="35" spans="2:29" x14ac:dyDescent="0.2">
      <c r="B35" s="139">
        <f t="shared" si="1"/>
        <v>32</v>
      </c>
      <c r="C35" s="133">
        <f t="shared" si="2"/>
        <v>46137</v>
      </c>
      <c r="D35" s="133">
        <f t="shared" si="0"/>
        <v>46167</v>
      </c>
      <c r="E35" s="195">
        <v>3.8542900000000002</v>
      </c>
      <c r="G35" s="135">
        <v>197.87</v>
      </c>
      <c r="H35" s="136"/>
      <c r="I35" s="135">
        <v>180.36</v>
      </c>
      <c r="J35" s="136"/>
      <c r="K35" s="135">
        <v>171.23</v>
      </c>
      <c r="L35" s="136"/>
      <c r="M35" s="135">
        <v>167.21</v>
      </c>
      <c r="N35" s="136"/>
      <c r="O35" s="135">
        <v>164.82</v>
      </c>
      <c r="P35" s="136"/>
      <c r="Q35" s="135">
        <v>159.22999999999999</v>
      </c>
      <c r="R35" s="136"/>
      <c r="S35" s="135">
        <v>152.6</v>
      </c>
      <c r="T35" s="136"/>
      <c r="U35" s="135">
        <v>151.53</v>
      </c>
      <c r="V35" s="136"/>
      <c r="W35" s="135">
        <v>147.02000000000001</v>
      </c>
      <c r="X35" s="136"/>
      <c r="Y35" s="135">
        <v>149.99</v>
      </c>
      <c r="Z35" s="136"/>
      <c r="AA35" s="144">
        <v>156.30000000000001</v>
      </c>
      <c r="AC35" s="135">
        <v>137.12</v>
      </c>
    </row>
    <row r="36" spans="2:29" x14ac:dyDescent="0.2">
      <c r="B36" s="139">
        <f t="shared" si="1"/>
        <v>33</v>
      </c>
      <c r="C36" s="133">
        <f t="shared" si="2"/>
        <v>46167</v>
      </c>
      <c r="D36" s="133">
        <f t="shared" ref="D36:D67" si="3">EDATE(C36,1)</f>
        <v>46198</v>
      </c>
      <c r="E36" s="195">
        <v>3.8544999999999998</v>
      </c>
      <c r="G36" s="135">
        <v>197.88</v>
      </c>
      <c r="H36" s="136"/>
      <c r="I36" s="135">
        <v>180.37</v>
      </c>
      <c r="J36" s="136"/>
      <c r="K36" s="135">
        <v>171.23</v>
      </c>
      <c r="L36" s="136"/>
      <c r="M36" s="135">
        <v>167.22</v>
      </c>
      <c r="N36" s="136"/>
      <c r="O36" s="135">
        <v>164.82</v>
      </c>
      <c r="P36" s="136"/>
      <c r="Q36" s="135">
        <v>159.22999999999999</v>
      </c>
      <c r="R36" s="136"/>
      <c r="S36" s="135">
        <v>152.6</v>
      </c>
      <c r="T36" s="136"/>
      <c r="U36" s="135">
        <v>151.53</v>
      </c>
      <c r="V36" s="136"/>
      <c r="W36" s="135">
        <v>147.02000000000001</v>
      </c>
      <c r="X36" s="136"/>
      <c r="Y36" s="135">
        <v>149.99</v>
      </c>
      <c r="Z36" s="136"/>
      <c r="AA36" s="144">
        <v>156.29</v>
      </c>
      <c r="AC36" s="135">
        <v>137.12</v>
      </c>
    </row>
    <row r="37" spans="2:29" x14ac:dyDescent="0.2">
      <c r="B37" s="139">
        <f t="shared" ref="B37:B68" si="4">IF(C37="","",B36+1)</f>
        <v>34</v>
      </c>
      <c r="C37" s="133">
        <f t="shared" ref="C37:C68" si="5">EDATE(C36,1)</f>
        <v>46198</v>
      </c>
      <c r="D37" s="133">
        <f t="shared" si="3"/>
        <v>46228</v>
      </c>
      <c r="E37" s="195">
        <v>3.8538800000000002</v>
      </c>
      <c r="G37" s="135">
        <v>197.73</v>
      </c>
      <c r="H37" s="136"/>
      <c r="I37" s="135">
        <v>180.24</v>
      </c>
      <c r="J37" s="136"/>
      <c r="K37" s="135">
        <v>171.13</v>
      </c>
      <c r="L37" s="136"/>
      <c r="M37" s="135">
        <v>167.14</v>
      </c>
      <c r="N37" s="136"/>
      <c r="O37" s="135">
        <v>164.75</v>
      </c>
      <c r="P37" s="136"/>
      <c r="Q37" s="135">
        <v>159.16999999999999</v>
      </c>
      <c r="R37" s="136"/>
      <c r="S37" s="135">
        <v>152.56</v>
      </c>
      <c r="T37" s="136"/>
      <c r="U37" s="135">
        <v>151.5</v>
      </c>
      <c r="V37" s="136"/>
      <c r="W37" s="135">
        <v>147</v>
      </c>
      <c r="X37" s="136"/>
      <c r="Y37" s="135">
        <v>149.97</v>
      </c>
      <c r="Z37" s="136"/>
      <c r="AA37" s="144">
        <v>156.28</v>
      </c>
      <c r="AC37" s="135">
        <v>137.12</v>
      </c>
    </row>
    <row r="38" spans="2:29" x14ac:dyDescent="0.2">
      <c r="B38" s="139">
        <f t="shared" si="4"/>
        <v>35</v>
      </c>
      <c r="C38" s="133">
        <f t="shared" si="5"/>
        <v>46228</v>
      </c>
      <c r="D38" s="133">
        <f t="shared" si="3"/>
        <v>46259</v>
      </c>
      <c r="E38" s="195">
        <v>3.8540899999999998</v>
      </c>
      <c r="G38" s="135">
        <v>193.13</v>
      </c>
      <c r="H38" s="136"/>
      <c r="I38" s="135">
        <v>176.37</v>
      </c>
      <c r="J38" s="136"/>
      <c r="K38" s="135">
        <v>168.13</v>
      </c>
      <c r="L38" s="136"/>
      <c r="M38" s="135">
        <v>164.61</v>
      </c>
      <c r="N38" s="136"/>
      <c r="O38" s="135">
        <v>162.71</v>
      </c>
      <c r="P38" s="136"/>
      <c r="Q38" s="135">
        <v>157.6</v>
      </c>
      <c r="R38" s="136"/>
      <c r="S38" s="135">
        <v>151.41</v>
      </c>
      <c r="T38" s="136"/>
      <c r="U38" s="135">
        <v>150.69999999999999</v>
      </c>
      <c r="V38" s="136"/>
      <c r="W38" s="135">
        <v>146.47</v>
      </c>
      <c r="X38" s="136"/>
      <c r="Y38" s="135">
        <v>149.63</v>
      </c>
      <c r="Z38" s="136"/>
      <c r="AA38" s="144">
        <v>156.05000000000001</v>
      </c>
      <c r="AC38" s="135">
        <v>136.91</v>
      </c>
    </row>
    <row r="39" spans="2:29" x14ac:dyDescent="0.2">
      <c r="B39" s="138">
        <f t="shared" si="4"/>
        <v>36</v>
      </c>
      <c r="C39" s="137">
        <f t="shared" si="5"/>
        <v>46259</v>
      </c>
      <c r="D39" s="137">
        <f t="shared" si="3"/>
        <v>46290</v>
      </c>
      <c r="E39" s="195">
        <v>3.8544999999999998</v>
      </c>
      <c r="F39" s="140"/>
      <c r="G39" s="141">
        <v>187.98</v>
      </c>
      <c r="H39" s="142"/>
      <c r="I39" s="141">
        <v>172.01</v>
      </c>
      <c r="J39" s="142"/>
      <c r="K39" s="141">
        <v>164.71</v>
      </c>
      <c r="L39" s="142"/>
      <c r="M39" s="141">
        <v>161.69999999999999</v>
      </c>
      <c r="N39" s="142"/>
      <c r="O39" s="141">
        <v>160.33000000000001</v>
      </c>
      <c r="P39" s="142"/>
      <c r="Q39" s="141">
        <v>155.74</v>
      </c>
      <c r="R39" s="142"/>
      <c r="S39" s="141">
        <v>150.03</v>
      </c>
      <c r="T39" s="142"/>
      <c r="U39" s="141">
        <v>149.74</v>
      </c>
      <c r="V39" s="142"/>
      <c r="W39" s="141">
        <v>145.82</v>
      </c>
      <c r="X39" s="142"/>
      <c r="Y39" s="141">
        <v>149.19999999999999</v>
      </c>
      <c r="Z39" s="142"/>
      <c r="AA39" s="143">
        <v>155.75</v>
      </c>
      <c r="AC39" s="135">
        <v>136.63</v>
      </c>
    </row>
    <row r="40" spans="2:29" x14ac:dyDescent="0.2">
      <c r="B40" s="139">
        <f t="shared" si="4"/>
        <v>37</v>
      </c>
      <c r="C40" s="133">
        <f t="shared" si="5"/>
        <v>46290</v>
      </c>
      <c r="D40" s="133">
        <f t="shared" si="3"/>
        <v>46320</v>
      </c>
      <c r="E40" s="195">
        <v>3.7571500000000002</v>
      </c>
      <c r="G40" s="135">
        <v>137.08000000000001</v>
      </c>
      <c r="H40" s="136"/>
      <c r="I40" s="135">
        <v>133.96</v>
      </c>
      <c r="J40" s="136"/>
      <c r="K40" s="135">
        <v>131.85</v>
      </c>
      <c r="L40" s="136"/>
      <c r="M40" s="135">
        <v>131.56</v>
      </c>
      <c r="N40" s="136"/>
      <c r="O40" s="135">
        <v>131.96</v>
      </c>
      <c r="P40" s="136"/>
      <c r="Q40" s="135">
        <v>133.16999999999999</v>
      </c>
      <c r="R40" s="136"/>
      <c r="S40" s="135">
        <v>135.22</v>
      </c>
      <c r="T40" s="136"/>
      <c r="U40" s="135">
        <v>138.12</v>
      </c>
      <c r="V40" s="136"/>
      <c r="W40" s="135">
        <v>141.78</v>
      </c>
      <c r="X40" s="136"/>
      <c r="Y40" s="135">
        <v>146.1</v>
      </c>
      <c r="Z40" s="136"/>
      <c r="AA40" s="135">
        <v>150.96</v>
      </c>
      <c r="AC40" s="135">
        <v>136.9</v>
      </c>
    </row>
    <row r="41" spans="2:29" x14ac:dyDescent="0.2">
      <c r="B41" s="139">
        <f t="shared" si="4"/>
        <v>38</v>
      </c>
      <c r="C41" s="133">
        <f t="shared" si="5"/>
        <v>46320</v>
      </c>
      <c r="D41" s="133">
        <f t="shared" si="3"/>
        <v>46351</v>
      </c>
      <c r="E41" s="195">
        <v>3.7347299999999999</v>
      </c>
      <c r="G41" s="135">
        <v>137.08000000000001</v>
      </c>
      <c r="H41" s="136"/>
      <c r="I41" s="135">
        <v>133.97</v>
      </c>
      <c r="J41" s="136"/>
      <c r="K41" s="135">
        <v>131.85</v>
      </c>
      <c r="L41" s="136"/>
      <c r="M41" s="135">
        <v>131.56</v>
      </c>
      <c r="N41" s="136"/>
      <c r="O41" s="135">
        <v>131.96</v>
      </c>
      <c r="P41" s="136"/>
      <c r="Q41" s="135">
        <v>133.16</v>
      </c>
      <c r="R41" s="136"/>
      <c r="S41" s="135">
        <v>135.22</v>
      </c>
      <c r="T41" s="136"/>
      <c r="U41" s="135">
        <v>138.11000000000001</v>
      </c>
      <c r="V41" s="136"/>
      <c r="W41" s="135">
        <v>141.77000000000001</v>
      </c>
      <c r="X41" s="136"/>
      <c r="Y41" s="135">
        <v>146.09</v>
      </c>
      <c r="Z41" s="136"/>
      <c r="AA41" s="135">
        <v>150.96</v>
      </c>
      <c r="AC41" s="135">
        <v>136.91999999999999</v>
      </c>
    </row>
    <row r="42" spans="2:29" x14ac:dyDescent="0.2">
      <c r="B42" s="139">
        <f t="shared" si="4"/>
        <v>39</v>
      </c>
      <c r="C42" s="133">
        <f t="shared" si="5"/>
        <v>46351</v>
      </c>
      <c r="D42" s="133">
        <f t="shared" si="3"/>
        <v>46381</v>
      </c>
      <c r="E42" s="195">
        <v>3.7349299999999999</v>
      </c>
      <c r="G42" s="135">
        <v>137.09</v>
      </c>
      <c r="H42" s="136"/>
      <c r="I42" s="135">
        <v>133.97999999999999</v>
      </c>
      <c r="J42" s="136"/>
      <c r="K42" s="135">
        <v>131.86000000000001</v>
      </c>
      <c r="L42" s="136"/>
      <c r="M42" s="135">
        <v>131.56</v>
      </c>
      <c r="N42" s="136"/>
      <c r="O42" s="135">
        <v>131.96</v>
      </c>
      <c r="P42" s="136"/>
      <c r="Q42" s="135">
        <v>133.16</v>
      </c>
      <c r="R42" s="136"/>
      <c r="S42" s="135">
        <v>135.21</v>
      </c>
      <c r="T42" s="136"/>
      <c r="U42" s="135">
        <v>138.1</v>
      </c>
      <c r="V42" s="136"/>
      <c r="W42" s="135">
        <v>141.76</v>
      </c>
      <c r="X42" s="136"/>
      <c r="Y42" s="135">
        <v>146.08000000000001</v>
      </c>
      <c r="Z42" s="136"/>
      <c r="AA42" s="135">
        <v>150.94</v>
      </c>
      <c r="AC42" s="135">
        <v>136.91999999999999</v>
      </c>
    </row>
    <row r="43" spans="2:29" x14ac:dyDescent="0.2">
      <c r="B43" s="139">
        <f t="shared" si="4"/>
        <v>40</v>
      </c>
      <c r="C43" s="133">
        <f t="shared" si="5"/>
        <v>46381</v>
      </c>
      <c r="D43" s="133">
        <f t="shared" si="3"/>
        <v>46412</v>
      </c>
      <c r="E43" s="195">
        <v>3.7347299999999999</v>
      </c>
      <c r="G43" s="135">
        <v>137.1</v>
      </c>
      <c r="H43" s="136"/>
      <c r="I43" s="135">
        <v>133.97999999999999</v>
      </c>
      <c r="J43" s="136"/>
      <c r="K43" s="135">
        <v>131.86000000000001</v>
      </c>
      <c r="L43" s="136"/>
      <c r="M43" s="135">
        <v>131.56</v>
      </c>
      <c r="N43" s="136"/>
      <c r="O43" s="135">
        <v>131.96</v>
      </c>
      <c r="P43" s="136"/>
      <c r="Q43" s="135">
        <v>133.16</v>
      </c>
      <c r="R43" s="136"/>
      <c r="S43" s="135">
        <v>135.22</v>
      </c>
      <c r="T43" s="136"/>
      <c r="U43" s="135">
        <v>138.11000000000001</v>
      </c>
      <c r="V43" s="136"/>
      <c r="W43" s="135">
        <v>141.77000000000001</v>
      </c>
      <c r="X43" s="136"/>
      <c r="Y43" s="135">
        <v>146.09</v>
      </c>
      <c r="Z43" s="136"/>
      <c r="AA43" s="135">
        <v>150.94999999999999</v>
      </c>
      <c r="AC43" s="135">
        <v>136.91999999999999</v>
      </c>
    </row>
    <row r="44" spans="2:29" x14ac:dyDescent="0.2">
      <c r="B44" s="139">
        <f t="shared" si="4"/>
        <v>41</v>
      </c>
      <c r="C44" s="133">
        <f t="shared" si="5"/>
        <v>46412</v>
      </c>
      <c r="D44" s="133">
        <f t="shared" si="3"/>
        <v>46443</v>
      </c>
      <c r="E44" s="195">
        <v>3.73454</v>
      </c>
      <c r="G44" s="135">
        <v>137.1</v>
      </c>
      <c r="H44" s="136"/>
      <c r="I44" s="135">
        <v>133.99</v>
      </c>
      <c r="J44" s="136"/>
      <c r="K44" s="135">
        <v>131.87</v>
      </c>
      <c r="L44" s="136"/>
      <c r="M44" s="135">
        <v>131.57</v>
      </c>
      <c r="N44" s="136"/>
      <c r="O44" s="135">
        <v>131.96</v>
      </c>
      <c r="P44" s="136"/>
      <c r="Q44" s="135">
        <v>133.16</v>
      </c>
      <c r="R44" s="136"/>
      <c r="S44" s="135">
        <v>135.21</v>
      </c>
      <c r="T44" s="136"/>
      <c r="U44" s="135">
        <v>138.1</v>
      </c>
      <c r="V44" s="136"/>
      <c r="W44" s="135">
        <v>141.76</v>
      </c>
      <c r="X44" s="136"/>
      <c r="Y44" s="135">
        <v>146.08000000000001</v>
      </c>
      <c r="Z44" s="136"/>
      <c r="AA44" s="135">
        <v>150.94999999999999</v>
      </c>
      <c r="AC44" s="135">
        <v>136.91999999999999</v>
      </c>
    </row>
    <row r="45" spans="2:29" x14ac:dyDescent="0.2">
      <c r="B45" s="139">
        <f t="shared" si="4"/>
        <v>42</v>
      </c>
      <c r="C45" s="133">
        <f t="shared" si="5"/>
        <v>46443</v>
      </c>
      <c r="D45" s="133">
        <f t="shared" si="3"/>
        <v>46471</v>
      </c>
      <c r="E45" s="195">
        <v>3.7339600000000002</v>
      </c>
      <c r="G45" s="135">
        <v>137.11000000000001</v>
      </c>
      <c r="H45" s="136"/>
      <c r="I45" s="135">
        <v>133.99</v>
      </c>
      <c r="J45" s="136"/>
      <c r="K45" s="135">
        <v>131.87</v>
      </c>
      <c r="L45" s="136"/>
      <c r="M45" s="135">
        <v>131.57</v>
      </c>
      <c r="N45" s="136"/>
      <c r="O45" s="135">
        <v>131.97</v>
      </c>
      <c r="P45" s="136"/>
      <c r="Q45" s="135">
        <v>133.16999999999999</v>
      </c>
      <c r="R45" s="136"/>
      <c r="S45" s="135">
        <v>135.22</v>
      </c>
      <c r="T45" s="136"/>
      <c r="U45" s="135">
        <v>138.11000000000001</v>
      </c>
      <c r="V45" s="136"/>
      <c r="W45" s="135">
        <v>141.77000000000001</v>
      </c>
      <c r="X45" s="136"/>
      <c r="Y45" s="135">
        <v>146.09</v>
      </c>
      <c r="Z45" s="136"/>
      <c r="AA45" s="135">
        <v>150.96</v>
      </c>
      <c r="AC45" s="135">
        <v>136.91999999999999</v>
      </c>
    </row>
    <row r="46" spans="2:29" x14ac:dyDescent="0.2">
      <c r="B46" s="139">
        <f t="shared" si="4"/>
        <v>43</v>
      </c>
      <c r="C46" s="133">
        <f t="shared" si="5"/>
        <v>46471</v>
      </c>
      <c r="D46" s="133">
        <f t="shared" si="3"/>
        <v>46502</v>
      </c>
      <c r="E46" s="195">
        <v>3.7349299999999999</v>
      </c>
      <c r="G46" s="135">
        <v>137.11000000000001</v>
      </c>
      <c r="H46" s="136"/>
      <c r="I46" s="135">
        <v>133.99</v>
      </c>
      <c r="J46" s="136"/>
      <c r="K46" s="135">
        <v>131.87</v>
      </c>
      <c r="L46" s="136"/>
      <c r="M46" s="135">
        <v>131.57</v>
      </c>
      <c r="N46" s="136"/>
      <c r="O46" s="135">
        <v>131.97</v>
      </c>
      <c r="P46" s="136"/>
      <c r="Q46" s="135">
        <v>133.16999999999999</v>
      </c>
      <c r="R46" s="136"/>
      <c r="S46" s="135">
        <v>135.22</v>
      </c>
      <c r="T46" s="136"/>
      <c r="U46" s="135">
        <v>138.11000000000001</v>
      </c>
      <c r="V46" s="136"/>
      <c r="W46" s="135">
        <v>141.77000000000001</v>
      </c>
      <c r="X46" s="136"/>
      <c r="Y46" s="135">
        <v>146.09</v>
      </c>
      <c r="Z46" s="136"/>
      <c r="AA46" s="135">
        <v>150.94999999999999</v>
      </c>
      <c r="AC46" s="135">
        <v>136.91999999999999</v>
      </c>
    </row>
    <row r="47" spans="2:29" x14ac:dyDescent="0.2">
      <c r="B47" s="139">
        <f t="shared" si="4"/>
        <v>44</v>
      </c>
      <c r="C47" s="133">
        <f t="shared" si="5"/>
        <v>46502</v>
      </c>
      <c r="D47" s="133">
        <f t="shared" si="3"/>
        <v>46532</v>
      </c>
      <c r="E47" s="195">
        <v>3.7343500000000001</v>
      </c>
      <c r="G47" s="135">
        <v>137.11000000000001</v>
      </c>
      <c r="H47" s="136"/>
      <c r="I47" s="135">
        <v>134</v>
      </c>
      <c r="J47" s="136"/>
      <c r="K47" s="135">
        <v>131.87</v>
      </c>
      <c r="L47" s="136"/>
      <c r="M47" s="135">
        <v>131.57</v>
      </c>
      <c r="N47" s="136"/>
      <c r="O47" s="135">
        <v>131.97</v>
      </c>
      <c r="P47" s="136"/>
      <c r="Q47" s="135">
        <v>133.16999999999999</v>
      </c>
      <c r="R47" s="136"/>
      <c r="S47" s="135">
        <v>135.22</v>
      </c>
      <c r="T47" s="136"/>
      <c r="U47" s="135">
        <v>138.11000000000001</v>
      </c>
      <c r="V47" s="136"/>
      <c r="W47" s="135">
        <v>141.77000000000001</v>
      </c>
      <c r="X47" s="136"/>
      <c r="Y47" s="135">
        <v>146.1</v>
      </c>
      <c r="Z47" s="136"/>
      <c r="AA47" s="135">
        <v>150.96</v>
      </c>
      <c r="AC47" s="135">
        <v>136.91999999999999</v>
      </c>
    </row>
    <row r="48" spans="2:29" x14ac:dyDescent="0.2">
      <c r="B48" s="139">
        <f t="shared" si="4"/>
        <v>45</v>
      </c>
      <c r="C48" s="133">
        <f t="shared" si="5"/>
        <v>46532</v>
      </c>
      <c r="D48" s="133">
        <f t="shared" si="3"/>
        <v>46563</v>
      </c>
      <c r="E48" s="195">
        <v>3.7349299999999999</v>
      </c>
      <c r="G48" s="135">
        <v>137.12</v>
      </c>
      <c r="H48" s="136"/>
      <c r="I48" s="135">
        <v>134</v>
      </c>
      <c r="J48" s="136"/>
      <c r="K48" s="135">
        <v>131.88</v>
      </c>
      <c r="L48" s="136"/>
      <c r="M48" s="135">
        <v>131.58000000000001</v>
      </c>
      <c r="N48" s="136"/>
      <c r="O48" s="135">
        <v>131.97</v>
      </c>
      <c r="P48" s="136"/>
      <c r="Q48" s="135">
        <v>133.16999999999999</v>
      </c>
      <c r="R48" s="136"/>
      <c r="S48" s="135">
        <v>135.22</v>
      </c>
      <c r="T48" s="136"/>
      <c r="U48" s="135">
        <v>138.11000000000001</v>
      </c>
      <c r="V48" s="136"/>
      <c r="W48" s="135">
        <v>141.77000000000001</v>
      </c>
      <c r="X48" s="136"/>
      <c r="Y48" s="135">
        <v>146.09</v>
      </c>
      <c r="Z48" s="136"/>
      <c r="AA48" s="135">
        <v>150.96</v>
      </c>
      <c r="AC48" s="135">
        <v>136.91</v>
      </c>
    </row>
    <row r="49" spans="2:29" x14ac:dyDescent="0.2">
      <c r="B49" s="139">
        <f t="shared" si="4"/>
        <v>46</v>
      </c>
      <c r="C49" s="133">
        <f t="shared" si="5"/>
        <v>46563</v>
      </c>
      <c r="D49" s="133">
        <f t="shared" si="3"/>
        <v>46593</v>
      </c>
      <c r="E49" s="195">
        <v>3.7347299999999999</v>
      </c>
      <c r="G49" s="135">
        <v>137.13</v>
      </c>
      <c r="H49" s="136"/>
      <c r="I49" s="135">
        <v>134.01</v>
      </c>
      <c r="J49" s="136"/>
      <c r="K49" s="135">
        <v>131.88</v>
      </c>
      <c r="L49" s="136"/>
      <c r="M49" s="135">
        <v>131.58000000000001</v>
      </c>
      <c r="N49" s="136"/>
      <c r="O49" s="135">
        <v>131.97</v>
      </c>
      <c r="P49" s="136"/>
      <c r="Q49" s="135">
        <v>133.16999999999999</v>
      </c>
      <c r="R49" s="136"/>
      <c r="S49" s="135">
        <v>135.22</v>
      </c>
      <c r="T49" s="136"/>
      <c r="U49" s="135">
        <v>138.11000000000001</v>
      </c>
      <c r="V49" s="136"/>
      <c r="W49" s="135">
        <v>141.77000000000001</v>
      </c>
      <c r="X49" s="136"/>
      <c r="Y49" s="135">
        <v>146.09</v>
      </c>
      <c r="Z49" s="136"/>
      <c r="AA49" s="135">
        <v>150.96</v>
      </c>
      <c r="AC49" s="135">
        <v>136.91999999999999</v>
      </c>
    </row>
    <row r="50" spans="2:29" x14ac:dyDescent="0.2">
      <c r="B50" s="139">
        <f t="shared" si="4"/>
        <v>47</v>
      </c>
      <c r="C50" s="133">
        <f t="shared" si="5"/>
        <v>46593</v>
      </c>
      <c r="D50" s="133">
        <f t="shared" si="3"/>
        <v>46624</v>
      </c>
      <c r="E50" s="195">
        <v>3.73454</v>
      </c>
      <c r="G50" s="135">
        <v>135.18</v>
      </c>
      <c r="H50" s="136"/>
      <c r="I50" s="135">
        <v>131.84</v>
      </c>
      <c r="J50" s="136"/>
      <c r="K50" s="135">
        <v>129.52000000000001</v>
      </c>
      <c r="L50" s="136"/>
      <c r="M50" s="135">
        <v>129.15</v>
      </c>
      <c r="N50" s="136"/>
      <c r="O50" s="135">
        <v>129.51</v>
      </c>
      <c r="P50" s="136"/>
      <c r="Q50" s="135">
        <v>130.71</v>
      </c>
      <c r="R50" s="136"/>
      <c r="S50" s="135">
        <v>132.81</v>
      </c>
      <c r="T50" s="136"/>
      <c r="U50" s="135">
        <v>135.78</v>
      </c>
      <c r="V50" s="136"/>
      <c r="W50" s="135">
        <v>139.54</v>
      </c>
      <c r="X50" s="136"/>
      <c r="Y50" s="135">
        <v>143.97999999999999</v>
      </c>
      <c r="Z50" s="136"/>
      <c r="AA50" s="135">
        <v>148.97</v>
      </c>
      <c r="AC50" s="135">
        <v>134.36000000000001</v>
      </c>
    </row>
    <row r="51" spans="2:29" x14ac:dyDescent="0.2">
      <c r="B51" s="138">
        <f t="shared" si="4"/>
        <v>48</v>
      </c>
      <c r="C51" s="137">
        <f t="shared" si="5"/>
        <v>46624</v>
      </c>
      <c r="D51" s="137">
        <f t="shared" si="3"/>
        <v>46655</v>
      </c>
      <c r="E51" s="195">
        <v>3.7349299999999999</v>
      </c>
      <c r="G51" s="135">
        <v>133.11000000000001</v>
      </c>
      <c r="H51" s="136"/>
      <c r="I51" s="135">
        <v>129.52000000000001</v>
      </c>
      <c r="J51" s="136"/>
      <c r="K51" s="135">
        <v>126.99</v>
      </c>
      <c r="L51" s="136"/>
      <c r="M51" s="135">
        <v>126.55</v>
      </c>
      <c r="N51" s="136"/>
      <c r="O51" s="135">
        <v>126.87</v>
      </c>
      <c r="P51" s="136"/>
      <c r="Q51" s="135">
        <v>128.08000000000001</v>
      </c>
      <c r="R51" s="136"/>
      <c r="S51" s="135">
        <v>130.22</v>
      </c>
      <c r="T51" s="136"/>
      <c r="U51" s="135">
        <v>133.28</v>
      </c>
      <c r="V51" s="136"/>
      <c r="W51" s="135">
        <v>137.15</v>
      </c>
      <c r="X51" s="136"/>
      <c r="Y51" s="135">
        <v>141.72</v>
      </c>
      <c r="Z51" s="136"/>
      <c r="AA51" s="135">
        <v>146.84</v>
      </c>
      <c r="AC51" s="135">
        <v>131.43</v>
      </c>
    </row>
    <row r="52" spans="2:29" x14ac:dyDescent="0.2">
      <c r="B52" s="139">
        <f t="shared" si="4"/>
        <v>49</v>
      </c>
      <c r="C52" s="133">
        <f t="shared" si="5"/>
        <v>46655</v>
      </c>
      <c r="D52" s="133">
        <f t="shared" si="3"/>
        <v>46685</v>
      </c>
      <c r="E52" s="195">
        <v>3.7555200000000002</v>
      </c>
      <c r="G52" s="135">
        <v>130.99</v>
      </c>
      <c r="H52" s="136"/>
      <c r="I52" s="135">
        <v>127.17</v>
      </c>
      <c r="J52" s="136"/>
      <c r="K52" s="135">
        <v>124.45</v>
      </c>
      <c r="L52" s="136"/>
      <c r="M52" s="135">
        <v>123.95</v>
      </c>
      <c r="N52" s="136"/>
      <c r="O52" s="135">
        <v>124.25</v>
      </c>
      <c r="P52" s="136"/>
      <c r="Q52" s="135">
        <v>125.48</v>
      </c>
      <c r="R52" s="136"/>
      <c r="S52" s="135">
        <v>127.7</v>
      </c>
      <c r="T52" s="136"/>
      <c r="U52" s="135">
        <v>130.86000000000001</v>
      </c>
      <c r="V52" s="136"/>
      <c r="W52" s="135">
        <v>134.87</v>
      </c>
      <c r="X52" s="136"/>
      <c r="Y52" s="135">
        <v>139.57</v>
      </c>
      <c r="Z52" s="136"/>
      <c r="AA52" s="135">
        <v>144.83000000000001</v>
      </c>
      <c r="AC52" s="135">
        <v>128.63</v>
      </c>
    </row>
    <row r="53" spans="2:29" x14ac:dyDescent="0.2">
      <c r="B53" s="139">
        <f t="shared" si="4"/>
        <v>50</v>
      </c>
      <c r="C53" s="133">
        <f t="shared" si="5"/>
        <v>46685</v>
      </c>
      <c r="D53" s="133">
        <f t="shared" si="3"/>
        <v>46716</v>
      </c>
      <c r="E53" s="195">
        <v>3.7595499999999999</v>
      </c>
      <c r="G53" s="135">
        <v>130.79</v>
      </c>
      <c r="H53" s="136"/>
      <c r="I53" s="135">
        <v>126.95</v>
      </c>
      <c r="J53" s="136"/>
      <c r="K53" s="135">
        <v>124.21</v>
      </c>
      <c r="L53" s="136"/>
      <c r="M53" s="135">
        <v>123.7</v>
      </c>
      <c r="N53" s="136"/>
      <c r="O53" s="135">
        <v>124</v>
      </c>
      <c r="P53" s="136"/>
      <c r="Q53" s="135">
        <v>125.23</v>
      </c>
      <c r="R53" s="136"/>
      <c r="S53" s="135">
        <v>127.45</v>
      </c>
      <c r="T53" s="136"/>
      <c r="U53" s="135">
        <v>130.62</v>
      </c>
      <c r="V53" s="136"/>
      <c r="W53" s="135">
        <v>134.63</v>
      </c>
      <c r="X53" s="136"/>
      <c r="Y53" s="135">
        <v>139.35</v>
      </c>
      <c r="Z53" s="136"/>
      <c r="AA53" s="135">
        <v>144.63</v>
      </c>
      <c r="AC53" s="135">
        <v>128.53</v>
      </c>
    </row>
    <row r="54" spans="2:29" x14ac:dyDescent="0.2">
      <c r="B54" s="139">
        <f t="shared" si="4"/>
        <v>51</v>
      </c>
      <c r="C54" s="133">
        <f t="shared" si="5"/>
        <v>46716</v>
      </c>
      <c r="D54" s="133">
        <f t="shared" si="3"/>
        <v>46746</v>
      </c>
      <c r="E54" s="195">
        <v>3.7599399999999998</v>
      </c>
      <c r="G54" s="135">
        <v>130.80000000000001</v>
      </c>
      <c r="H54" s="136"/>
      <c r="I54" s="135">
        <v>126.95</v>
      </c>
      <c r="J54" s="136"/>
      <c r="K54" s="135">
        <v>124.21</v>
      </c>
      <c r="L54" s="136"/>
      <c r="M54" s="135">
        <v>123.7</v>
      </c>
      <c r="N54" s="136"/>
      <c r="O54" s="135">
        <v>124</v>
      </c>
      <c r="P54" s="136"/>
      <c r="Q54" s="135">
        <v>125.23</v>
      </c>
      <c r="R54" s="136"/>
      <c r="S54" s="135">
        <v>127.44</v>
      </c>
      <c r="T54" s="136"/>
      <c r="U54" s="135">
        <v>130.61000000000001</v>
      </c>
      <c r="V54" s="136"/>
      <c r="W54" s="135">
        <v>134.63</v>
      </c>
      <c r="X54" s="136"/>
      <c r="Y54" s="135">
        <v>139.35</v>
      </c>
      <c r="Z54" s="136"/>
      <c r="AA54" s="135">
        <v>144.62</v>
      </c>
      <c r="AC54" s="135">
        <v>128.53</v>
      </c>
    </row>
    <row r="55" spans="2:29" x14ac:dyDescent="0.2">
      <c r="B55" s="139">
        <f t="shared" si="4"/>
        <v>52</v>
      </c>
      <c r="C55" s="133">
        <f t="shared" si="5"/>
        <v>46746</v>
      </c>
      <c r="D55" s="133">
        <f t="shared" si="3"/>
        <v>46777</v>
      </c>
      <c r="E55" s="195">
        <v>3.7595499999999999</v>
      </c>
      <c r="G55" s="135">
        <v>130.80000000000001</v>
      </c>
      <c r="H55" s="136"/>
      <c r="I55" s="135">
        <v>126.95</v>
      </c>
      <c r="J55" s="136"/>
      <c r="K55" s="135">
        <v>124.21</v>
      </c>
      <c r="L55" s="136"/>
      <c r="M55" s="135">
        <v>123.7</v>
      </c>
      <c r="N55" s="136"/>
      <c r="O55" s="135">
        <v>124</v>
      </c>
      <c r="P55" s="136"/>
      <c r="Q55" s="135">
        <v>125.23</v>
      </c>
      <c r="R55" s="136"/>
      <c r="S55" s="135">
        <v>127.45</v>
      </c>
      <c r="T55" s="136"/>
      <c r="U55" s="135">
        <v>130.62</v>
      </c>
      <c r="V55" s="136"/>
      <c r="W55" s="135">
        <v>134.63999999999999</v>
      </c>
      <c r="X55" s="136"/>
      <c r="Y55" s="135">
        <v>139.36000000000001</v>
      </c>
      <c r="Z55" s="136"/>
      <c r="AA55" s="135">
        <v>144.63</v>
      </c>
      <c r="AC55" s="135">
        <v>128.53</v>
      </c>
    </row>
    <row r="56" spans="2:29" x14ac:dyDescent="0.2">
      <c r="B56" s="139">
        <f t="shared" si="4"/>
        <v>53</v>
      </c>
      <c r="C56" s="133">
        <f t="shared" si="5"/>
        <v>46777</v>
      </c>
      <c r="D56" s="133">
        <f t="shared" si="3"/>
        <v>46808</v>
      </c>
      <c r="E56" s="195">
        <v>3.7599399999999998</v>
      </c>
      <c r="G56" s="135">
        <v>130.80000000000001</v>
      </c>
      <c r="H56" s="136"/>
      <c r="I56" s="135">
        <v>126.96</v>
      </c>
      <c r="J56" s="136"/>
      <c r="K56" s="135">
        <v>124.22</v>
      </c>
      <c r="L56" s="136"/>
      <c r="M56" s="135">
        <v>123.7</v>
      </c>
      <c r="N56" s="136"/>
      <c r="O56" s="135">
        <v>124</v>
      </c>
      <c r="P56" s="136"/>
      <c r="Q56" s="135">
        <v>125.23</v>
      </c>
      <c r="R56" s="136"/>
      <c r="S56" s="135">
        <v>127.45</v>
      </c>
      <c r="T56" s="136"/>
      <c r="U56" s="135">
        <v>130.61000000000001</v>
      </c>
      <c r="V56" s="136"/>
      <c r="W56" s="135">
        <v>134.63</v>
      </c>
      <c r="X56" s="136"/>
      <c r="Y56" s="135">
        <v>139.35</v>
      </c>
      <c r="Z56" s="136"/>
      <c r="AA56" s="135">
        <v>144.62</v>
      </c>
      <c r="AC56" s="135">
        <v>128.53</v>
      </c>
    </row>
    <row r="57" spans="2:29" x14ac:dyDescent="0.2">
      <c r="B57" s="139">
        <f t="shared" si="4"/>
        <v>54</v>
      </c>
      <c r="C57" s="133">
        <f t="shared" si="5"/>
        <v>46808</v>
      </c>
      <c r="D57" s="133">
        <f t="shared" si="3"/>
        <v>46837</v>
      </c>
      <c r="E57" s="195">
        <v>3.7591600000000001</v>
      </c>
      <c r="G57" s="135">
        <v>130.81</v>
      </c>
      <c r="H57" s="136"/>
      <c r="I57" s="135">
        <v>126.96</v>
      </c>
      <c r="J57" s="136"/>
      <c r="K57" s="135">
        <v>124.22</v>
      </c>
      <c r="L57" s="136"/>
      <c r="M57" s="135">
        <v>123.71</v>
      </c>
      <c r="N57" s="136"/>
      <c r="O57" s="135">
        <v>124</v>
      </c>
      <c r="P57" s="136"/>
      <c r="Q57" s="135">
        <v>125.23</v>
      </c>
      <c r="R57" s="136"/>
      <c r="S57" s="135">
        <v>127.45</v>
      </c>
      <c r="T57" s="136"/>
      <c r="U57" s="135">
        <v>130.62</v>
      </c>
      <c r="V57" s="136"/>
      <c r="W57" s="135">
        <v>134.63</v>
      </c>
      <c r="X57" s="136"/>
      <c r="Y57" s="135">
        <v>139.35</v>
      </c>
      <c r="Z57" s="136"/>
      <c r="AA57" s="135">
        <v>144.63</v>
      </c>
      <c r="AC57" s="135">
        <v>128.53</v>
      </c>
    </row>
    <row r="58" spans="2:29" x14ac:dyDescent="0.2">
      <c r="B58" s="139">
        <f t="shared" si="4"/>
        <v>55</v>
      </c>
      <c r="C58" s="133">
        <f t="shared" si="5"/>
        <v>46837</v>
      </c>
      <c r="D58" s="133">
        <f t="shared" si="3"/>
        <v>46868</v>
      </c>
      <c r="E58" s="195">
        <v>3.7595499999999999</v>
      </c>
      <c r="G58" s="135">
        <v>130.81</v>
      </c>
      <c r="H58" s="136"/>
      <c r="I58" s="135">
        <v>126.97</v>
      </c>
      <c r="J58" s="136"/>
      <c r="K58" s="135">
        <v>124.22</v>
      </c>
      <c r="L58" s="136"/>
      <c r="M58" s="135">
        <v>123.71</v>
      </c>
      <c r="N58" s="136"/>
      <c r="O58" s="135">
        <v>124</v>
      </c>
      <c r="P58" s="136"/>
      <c r="Q58" s="135">
        <v>125.23</v>
      </c>
      <c r="R58" s="136"/>
      <c r="S58" s="135">
        <v>127.45</v>
      </c>
      <c r="T58" s="136"/>
      <c r="U58" s="135">
        <v>130.62</v>
      </c>
      <c r="V58" s="136"/>
      <c r="W58" s="135">
        <v>134.63999999999999</v>
      </c>
      <c r="X58" s="136"/>
      <c r="Y58" s="135">
        <v>139.36000000000001</v>
      </c>
      <c r="Z58" s="136"/>
      <c r="AA58" s="135">
        <v>144.63</v>
      </c>
      <c r="AC58" s="135">
        <v>128.53</v>
      </c>
    </row>
    <row r="59" spans="2:29" x14ac:dyDescent="0.2">
      <c r="B59" s="139">
        <f t="shared" si="4"/>
        <v>56</v>
      </c>
      <c r="C59" s="133">
        <f t="shared" si="5"/>
        <v>46868</v>
      </c>
      <c r="D59" s="133">
        <f t="shared" si="3"/>
        <v>46898</v>
      </c>
      <c r="E59" s="195">
        <v>3.75936</v>
      </c>
      <c r="G59" s="135">
        <v>130.81</v>
      </c>
      <c r="H59" s="136"/>
      <c r="I59" s="135">
        <v>126.97</v>
      </c>
      <c r="J59" s="136"/>
      <c r="K59" s="135">
        <v>124.22</v>
      </c>
      <c r="L59" s="136"/>
      <c r="M59" s="135">
        <v>123.71</v>
      </c>
      <c r="N59" s="136"/>
      <c r="O59" s="135">
        <v>124</v>
      </c>
      <c r="P59" s="136"/>
      <c r="Q59" s="135">
        <v>125.23</v>
      </c>
      <c r="R59" s="136"/>
      <c r="S59" s="135">
        <v>127.45</v>
      </c>
      <c r="T59" s="136"/>
      <c r="U59" s="135">
        <v>130.62</v>
      </c>
      <c r="V59" s="136"/>
      <c r="W59" s="135">
        <v>134.63</v>
      </c>
      <c r="X59" s="136"/>
      <c r="Y59" s="135">
        <v>139.35</v>
      </c>
      <c r="Z59" s="136"/>
      <c r="AA59" s="135">
        <v>144.63</v>
      </c>
      <c r="AC59" s="135">
        <v>128.53</v>
      </c>
    </row>
    <row r="60" spans="2:29" x14ac:dyDescent="0.2">
      <c r="B60" s="139">
        <f t="shared" si="4"/>
        <v>57</v>
      </c>
      <c r="C60" s="133">
        <f t="shared" si="5"/>
        <v>46898</v>
      </c>
      <c r="D60" s="133">
        <f t="shared" si="3"/>
        <v>46929</v>
      </c>
      <c r="E60" s="195">
        <v>3.7599399999999998</v>
      </c>
      <c r="G60" s="135">
        <v>130.82</v>
      </c>
      <c r="H60" s="136"/>
      <c r="I60" s="135">
        <v>126.97</v>
      </c>
      <c r="J60" s="136"/>
      <c r="K60" s="135">
        <v>124.23</v>
      </c>
      <c r="L60" s="136"/>
      <c r="M60" s="135">
        <v>123.71</v>
      </c>
      <c r="N60" s="136"/>
      <c r="O60" s="135">
        <v>124</v>
      </c>
      <c r="P60" s="136"/>
      <c r="Q60" s="135">
        <v>125.23</v>
      </c>
      <c r="R60" s="136"/>
      <c r="S60" s="135">
        <v>127.45</v>
      </c>
      <c r="T60" s="136"/>
      <c r="U60" s="135">
        <v>130.61000000000001</v>
      </c>
      <c r="V60" s="136"/>
      <c r="W60" s="135">
        <v>134.63</v>
      </c>
      <c r="X60" s="136"/>
      <c r="Y60" s="135">
        <v>139.35</v>
      </c>
      <c r="Z60" s="136"/>
      <c r="AA60" s="135">
        <v>144.63</v>
      </c>
      <c r="AC60" s="135">
        <v>128.53</v>
      </c>
    </row>
    <row r="61" spans="2:29" x14ac:dyDescent="0.2">
      <c r="B61" s="139">
        <f t="shared" si="4"/>
        <v>58</v>
      </c>
      <c r="C61" s="133">
        <f t="shared" si="5"/>
        <v>46929</v>
      </c>
      <c r="D61" s="133">
        <f t="shared" si="3"/>
        <v>46959</v>
      </c>
      <c r="E61" s="195">
        <v>3.75936</v>
      </c>
      <c r="G61" s="135">
        <v>130.82</v>
      </c>
      <c r="H61" s="136"/>
      <c r="I61" s="135">
        <v>126.98</v>
      </c>
      <c r="J61" s="136"/>
      <c r="K61" s="135">
        <v>124.23</v>
      </c>
      <c r="L61" s="136"/>
      <c r="M61" s="135">
        <v>123.71</v>
      </c>
      <c r="N61" s="136"/>
      <c r="O61" s="135">
        <v>124.01</v>
      </c>
      <c r="P61" s="136"/>
      <c r="Q61" s="135">
        <v>125.23</v>
      </c>
      <c r="R61" s="136"/>
      <c r="S61" s="135">
        <v>127.45</v>
      </c>
      <c r="T61" s="136"/>
      <c r="U61" s="135">
        <v>130.62</v>
      </c>
      <c r="V61" s="136"/>
      <c r="W61" s="135">
        <v>134.63</v>
      </c>
      <c r="X61" s="136"/>
      <c r="Y61" s="135">
        <v>139.35</v>
      </c>
      <c r="Z61" s="136"/>
      <c r="AA61" s="135">
        <v>144.63</v>
      </c>
      <c r="AC61" s="135">
        <v>128.53</v>
      </c>
    </row>
    <row r="62" spans="2:29" x14ac:dyDescent="0.2">
      <c r="B62" s="139">
        <f t="shared" si="4"/>
        <v>59</v>
      </c>
      <c r="C62" s="133">
        <f t="shared" si="5"/>
        <v>46959</v>
      </c>
      <c r="D62" s="133">
        <f t="shared" si="3"/>
        <v>46990</v>
      </c>
      <c r="E62" s="195">
        <v>3.7599399999999998</v>
      </c>
      <c r="G62" s="135">
        <v>127.35</v>
      </c>
      <c r="H62" s="136"/>
      <c r="I62" s="135">
        <v>123.98</v>
      </c>
      <c r="J62" s="136"/>
      <c r="K62" s="135">
        <v>121.71</v>
      </c>
      <c r="L62" s="136"/>
      <c r="M62" s="135">
        <v>121.41</v>
      </c>
      <c r="N62" s="136"/>
      <c r="O62" s="135">
        <v>121.88</v>
      </c>
      <c r="P62" s="136"/>
      <c r="Q62" s="135">
        <v>123.22</v>
      </c>
      <c r="R62" s="136"/>
      <c r="S62" s="135">
        <v>125.48</v>
      </c>
      <c r="T62" s="136"/>
      <c r="U62" s="135">
        <v>128.62</v>
      </c>
      <c r="V62" s="136"/>
      <c r="W62" s="135">
        <v>132.55000000000001</v>
      </c>
      <c r="X62" s="136"/>
      <c r="Y62" s="135">
        <v>137.13</v>
      </c>
      <c r="Z62" s="136"/>
      <c r="AA62" s="135">
        <v>142.22</v>
      </c>
      <c r="AC62" s="135">
        <v>126.11</v>
      </c>
    </row>
    <row r="63" spans="2:29" x14ac:dyDescent="0.2">
      <c r="B63" s="138">
        <f t="shared" si="4"/>
        <v>60</v>
      </c>
      <c r="C63" s="137">
        <f t="shared" si="5"/>
        <v>46990</v>
      </c>
      <c r="D63" s="137">
        <f t="shared" si="3"/>
        <v>47021</v>
      </c>
      <c r="E63" s="195">
        <v>3.7597499999999999</v>
      </c>
      <c r="G63" s="135">
        <v>123.4</v>
      </c>
      <c r="H63" s="136"/>
      <c r="I63" s="135">
        <v>120.57</v>
      </c>
      <c r="J63" s="136"/>
      <c r="K63" s="135">
        <v>118.85</v>
      </c>
      <c r="L63" s="136"/>
      <c r="M63" s="135">
        <v>118.79</v>
      </c>
      <c r="N63" s="136"/>
      <c r="O63" s="135">
        <v>119.45</v>
      </c>
      <c r="P63" s="136"/>
      <c r="Q63" s="135">
        <v>120.92</v>
      </c>
      <c r="R63" s="136"/>
      <c r="S63" s="135">
        <v>123.23</v>
      </c>
      <c r="T63" s="136"/>
      <c r="U63" s="135">
        <v>126.34</v>
      </c>
      <c r="V63" s="136"/>
      <c r="W63" s="135">
        <v>130.16</v>
      </c>
      <c r="X63" s="136"/>
      <c r="Y63" s="135">
        <v>134.58000000000001</v>
      </c>
      <c r="Z63" s="136"/>
      <c r="AA63" s="135">
        <v>139.46</v>
      </c>
      <c r="AC63" s="135">
        <v>123.92</v>
      </c>
    </row>
    <row r="64" spans="2:29" x14ac:dyDescent="0.2">
      <c r="B64" s="139">
        <f t="shared" si="4"/>
        <v>61</v>
      </c>
      <c r="C64" s="133">
        <f t="shared" si="5"/>
        <v>47021</v>
      </c>
      <c r="D64" s="133">
        <f t="shared" si="3"/>
        <v>47051</v>
      </c>
      <c r="E64" s="195">
        <v>3.7837200000000002</v>
      </c>
      <c r="G64" s="135">
        <v>119.78</v>
      </c>
      <c r="H64" s="136"/>
      <c r="I64" s="135">
        <v>117.43</v>
      </c>
      <c r="J64" s="136"/>
      <c r="K64" s="135">
        <v>116.18</v>
      </c>
      <c r="L64" s="136"/>
      <c r="M64" s="135">
        <v>116.31</v>
      </c>
      <c r="N64" s="136"/>
      <c r="O64" s="135">
        <v>117.12</v>
      </c>
      <c r="P64" s="136"/>
      <c r="Q64" s="135">
        <v>118.66</v>
      </c>
      <c r="R64" s="136"/>
      <c r="S64" s="135">
        <v>120.98</v>
      </c>
      <c r="T64" s="136"/>
      <c r="U64" s="135">
        <v>124.01</v>
      </c>
      <c r="V64" s="136"/>
      <c r="W64" s="135">
        <v>127.7</v>
      </c>
      <c r="X64" s="136"/>
      <c r="Y64" s="135">
        <v>131.93</v>
      </c>
      <c r="Z64" s="136"/>
      <c r="AA64" s="135">
        <v>136.59</v>
      </c>
      <c r="AC64" s="135">
        <v>121.35</v>
      </c>
    </row>
    <row r="65" spans="2:31" x14ac:dyDescent="0.2">
      <c r="B65" s="139">
        <f t="shared" si="4"/>
        <v>62</v>
      </c>
      <c r="C65" s="133">
        <f t="shared" si="5"/>
        <v>47051</v>
      </c>
      <c r="D65" s="133">
        <f t="shared" si="3"/>
        <v>47082</v>
      </c>
      <c r="E65" s="195">
        <v>3.7860499999999999</v>
      </c>
      <c r="G65" s="135">
        <v>119.67</v>
      </c>
      <c r="H65" s="136"/>
      <c r="I65" s="135">
        <v>117.33</v>
      </c>
      <c r="J65" s="136"/>
      <c r="K65" s="135">
        <v>116.09</v>
      </c>
      <c r="L65" s="136"/>
      <c r="M65" s="135">
        <v>116.23</v>
      </c>
      <c r="N65" s="136"/>
      <c r="O65" s="135">
        <v>117.04</v>
      </c>
      <c r="P65" s="136"/>
      <c r="Q65" s="135">
        <v>118.59</v>
      </c>
      <c r="R65" s="136"/>
      <c r="S65" s="135">
        <v>120.9</v>
      </c>
      <c r="T65" s="136"/>
      <c r="U65" s="135">
        <v>123.93</v>
      </c>
      <c r="V65" s="136"/>
      <c r="W65" s="135">
        <v>127.61</v>
      </c>
      <c r="X65" s="136"/>
      <c r="Y65" s="135">
        <v>131.83000000000001</v>
      </c>
      <c r="Z65" s="136"/>
      <c r="AA65" s="135">
        <v>136.49</v>
      </c>
      <c r="AC65" s="135">
        <v>121.34</v>
      </c>
    </row>
    <row r="66" spans="2:31" x14ac:dyDescent="0.2">
      <c r="B66" s="139">
        <f t="shared" si="4"/>
        <v>63</v>
      </c>
      <c r="C66" s="133">
        <f t="shared" si="5"/>
        <v>47082</v>
      </c>
      <c r="D66" s="133">
        <f t="shared" si="3"/>
        <v>47112</v>
      </c>
      <c r="E66" s="195">
        <v>3.78546</v>
      </c>
      <c r="G66" s="135">
        <v>119.67</v>
      </c>
      <c r="H66" s="136"/>
      <c r="I66" s="135">
        <v>117.33</v>
      </c>
      <c r="J66" s="136"/>
      <c r="K66" s="135">
        <v>116.09</v>
      </c>
      <c r="L66" s="136"/>
      <c r="M66" s="135">
        <v>116.23</v>
      </c>
      <c r="N66" s="136"/>
      <c r="O66" s="135">
        <v>117.04</v>
      </c>
      <c r="P66" s="136"/>
      <c r="Q66" s="135">
        <v>118.59</v>
      </c>
      <c r="R66" s="136"/>
      <c r="S66" s="135">
        <v>120.9</v>
      </c>
      <c r="T66" s="136"/>
      <c r="U66" s="135">
        <v>123.93</v>
      </c>
      <c r="V66" s="136"/>
      <c r="W66" s="135">
        <v>127.61</v>
      </c>
      <c r="X66" s="136"/>
      <c r="Y66" s="135">
        <v>131.83000000000001</v>
      </c>
      <c r="Z66" s="136"/>
      <c r="AA66" s="135">
        <v>136.49</v>
      </c>
      <c r="AC66" s="135">
        <v>121.34</v>
      </c>
    </row>
    <row r="67" spans="2:31" x14ac:dyDescent="0.2">
      <c r="B67" s="139">
        <f t="shared" si="4"/>
        <v>64</v>
      </c>
      <c r="C67" s="133">
        <f t="shared" si="5"/>
        <v>47112</v>
      </c>
      <c r="D67" s="133">
        <f t="shared" si="3"/>
        <v>47143</v>
      </c>
      <c r="E67" s="195">
        <v>3.7860499999999999</v>
      </c>
      <c r="G67" s="135">
        <v>119.67</v>
      </c>
      <c r="H67" s="136"/>
      <c r="I67" s="135">
        <v>117.34</v>
      </c>
      <c r="J67" s="136"/>
      <c r="K67" s="135">
        <v>116.1</v>
      </c>
      <c r="L67" s="136"/>
      <c r="M67" s="135">
        <v>116.24</v>
      </c>
      <c r="N67" s="136"/>
      <c r="O67" s="135">
        <v>117.04</v>
      </c>
      <c r="P67" s="136"/>
      <c r="Q67" s="135">
        <v>118.59</v>
      </c>
      <c r="R67" s="136"/>
      <c r="S67" s="135">
        <v>120.9</v>
      </c>
      <c r="T67" s="136"/>
      <c r="U67" s="135">
        <v>123.93</v>
      </c>
      <c r="V67" s="136"/>
      <c r="W67" s="135">
        <v>127.61</v>
      </c>
      <c r="X67" s="136"/>
      <c r="Y67" s="135">
        <v>131.83000000000001</v>
      </c>
      <c r="Z67" s="136"/>
      <c r="AA67" s="135">
        <v>136.49</v>
      </c>
      <c r="AC67" s="135">
        <v>121.34</v>
      </c>
    </row>
    <row r="68" spans="2:31" x14ac:dyDescent="0.2">
      <c r="B68" s="139">
        <f t="shared" si="4"/>
        <v>65</v>
      </c>
      <c r="C68" s="133">
        <f t="shared" si="5"/>
        <v>47143</v>
      </c>
      <c r="D68" s="133">
        <f t="shared" ref="D68:D87" si="6">EDATE(C68,1)</f>
        <v>47174</v>
      </c>
      <c r="E68" s="195">
        <v>3.7860499999999999</v>
      </c>
      <c r="G68" s="135">
        <v>119.68</v>
      </c>
      <c r="H68" s="136"/>
      <c r="I68" s="135">
        <v>117.34</v>
      </c>
      <c r="J68" s="136"/>
      <c r="K68" s="135">
        <v>116.1</v>
      </c>
      <c r="L68" s="136"/>
      <c r="M68" s="135">
        <v>116.24</v>
      </c>
      <c r="N68" s="136"/>
      <c r="O68" s="135">
        <v>117.04</v>
      </c>
      <c r="P68" s="136"/>
      <c r="Q68" s="135">
        <v>118.59</v>
      </c>
      <c r="R68" s="136"/>
      <c r="S68" s="135">
        <v>120.89</v>
      </c>
      <c r="T68" s="136"/>
      <c r="U68" s="135">
        <v>123.93</v>
      </c>
      <c r="V68" s="136"/>
      <c r="W68" s="135">
        <v>127.61</v>
      </c>
      <c r="X68" s="136"/>
      <c r="Y68" s="135">
        <v>131.83000000000001</v>
      </c>
      <c r="Z68" s="136"/>
      <c r="AA68" s="135">
        <v>136.49</v>
      </c>
      <c r="AC68" s="135">
        <v>121.34</v>
      </c>
    </row>
    <row r="69" spans="2:31" x14ac:dyDescent="0.2">
      <c r="B69" s="139">
        <f t="shared" ref="B69:B87" si="7">IF(C69="","",B68+1)</f>
        <v>66</v>
      </c>
      <c r="C69" s="133">
        <f t="shared" ref="C69:C87" si="8">EDATE(C68,1)</f>
        <v>47174</v>
      </c>
      <c r="D69" s="133">
        <f t="shared" si="6"/>
        <v>47202</v>
      </c>
      <c r="E69" s="195">
        <v>3.7850600000000001</v>
      </c>
      <c r="G69" s="135">
        <v>119.68</v>
      </c>
      <c r="H69" s="136"/>
      <c r="I69" s="135">
        <v>117.34</v>
      </c>
      <c r="J69" s="136"/>
      <c r="K69" s="135">
        <v>116.1</v>
      </c>
      <c r="L69" s="136"/>
      <c r="M69" s="135">
        <v>116.24</v>
      </c>
      <c r="N69" s="136"/>
      <c r="O69" s="135">
        <v>117.04</v>
      </c>
      <c r="P69" s="136"/>
      <c r="Q69" s="135">
        <v>118.59</v>
      </c>
      <c r="R69" s="136"/>
      <c r="S69" s="135">
        <v>120.9</v>
      </c>
      <c r="T69" s="136"/>
      <c r="U69" s="135">
        <v>123.93</v>
      </c>
      <c r="V69" s="136"/>
      <c r="W69" s="135">
        <v>127.61</v>
      </c>
      <c r="X69" s="136"/>
      <c r="Y69" s="135">
        <v>131.84</v>
      </c>
      <c r="Z69" s="136"/>
      <c r="AA69" s="135">
        <v>136.5</v>
      </c>
      <c r="AC69" s="135">
        <v>121.35</v>
      </c>
    </row>
    <row r="70" spans="2:31" x14ac:dyDescent="0.2">
      <c r="B70" s="139">
        <f t="shared" si="7"/>
        <v>67</v>
      </c>
      <c r="C70" s="133">
        <f t="shared" si="8"/>
        <v>47202</v>
      </c>
      <c r="D70" s="133">
        <f t="shared" si="6"/>
        <v>47233</v>
      </c>
      <c r="E70" s="195">
        <v>3.78566</v>
      </c>
      <c r="G70" s="135">
        <v>119.68</v>
      </c>
      <c r="H70" s="136"/>
      <c r="I70" s="135">
        <v>117.34</v>
      </c>
      <c r="J70" s="136"/>
      <c r="K70" s="135">
        <v>116.1</v>
      </c>
      <c r="L70" s="136"/>
      <c r="M70" s="135">
        <v>116.24</v>
      </c>
      <c r="N70" s="136"/>
      <c r="O70" s="135">
        <v>117.04</v>
      </c>
      <c r="P70" s="136"/>
      <c r="Q70" s="135">
        <v>118.59</v>
      </c>
      <c r="R70" s="136"/>
      <c r="S70" s="135">
        <v>120.9</v>
      </c>
      <c r="T70" s="136"/>
      <c r="U70" s="135">
        <v>123.93</v>
      </c>
      <c r="V70" s="136"/>
      <c r="W70" s="135">
        <v>127.61</v>
      </c>
      <c r="X70" s="136"/>
      <c r="Y70" s="135">
        <v>131.84</v>
      </c>
      <c r="Z70" s="136"/>
      <c r="AA70" s="135">
        <v>136.5</v>
      </c>
      <c r="AC70" s="135">
        <v>121.34</v>
      </c>
    </row>
    <row r="71" spans="2:31" x14ac:dyDescent="0.2">
      <c r="B71" s="139">
        <f t="shared" si="7"/>
        <v>68</v>
      </c>
      <c r="C71" s="133">
        <f t="shared" si="8"/>
        <v>47233</v>
      </c>
      <c r="D71" s="133">
        <f t="shared" si="6"/>
        <v>47263</v>
      </c>
      <c r="E71" s="195">
        <v>3.78546</v>
      </c>
      <c r="G71" s="135">
        <v>119.68</v>
      </c>
      <c r="H71" s="136"/>
      <c r="I71" s="135">
        <v>117.35</v>
      </c>
      <c r="J71" s="136"/>
      <c r="K71" s="135">
        <v>116.1</v>
      </c>
      <c r="L71" s="136"/>
      <c r="M71" s="135">
        <v>116.24</v>
      </c>
      <c r="N71" s="136"/>
      <c r="O71" s="135">
        <v>117.05</v>
      </c>
      <c r="P71" s="136"/>
      <c r="Q71" s="135">
        <v>118.59</v>
      </c>
      <c r="R71" s="136"/>
      <c r="S71" s="135">
        <v>120.9</v>
      </c>
      <c r="T71" s="136"/>
      <c r="U71" s="135">
        <v>123.93</v>
      </c>
      <c r="V71" s="136"/>
      <c r="W71" s="135">
        <v>127.61</v>
      </c>
      <c r="X71" s="136"/>
      <c r="Y71" s="135">
        <v>131.84</v>
      </c>
      <c r="Z71" s="136"/>
      <c r="AA71" s="135">
        <v>136.5</v>
      </c>
      <c r="AC71" s="135">
        <v>121.34</v>
      </c>
    </row>
    <row r="72" spans="2:31" x14ac:dyDescent="0.2">
      <c r="B72" s="139">
        <f t="shared" si="7"/>
        <v>69</v>
      </c>
      <c r="C72" s="133">
        <f t="shared" si="8"/>
        <v>47263</v>
      </c>
      <c r="D72" s="133">
        <f t="shared" si="6"/>
        <v>47294</v>
      </c>
      <c r="E72" s="195">
        <v>3.78586</v>
      </c>
      <c r="G72" s="135">
        <v>119.69</v>
      </c>
      <c r="H72" s="136"/>
      <c r="I72" s="135">
        <v>117.35</v>
      </c>
      <c r="J72" s="136"/>
      <c r="K72" s="135">
        <v>116.11</v>
      </c>
      <c r="L72" s="136"/>
      <c r="M72" s="135">
        <v>116.24</v>
      </c>
      <c r="N72" s="136"/>
      <c r="O72" s="135">
        <v>117.05</v>
      </c>
      <c r="P72" s="136"/>
      <c r="Q72" s="135">
        <v>118.59</v>
      </c>
      <c r="R72" s="136"/>
      <c r="S72" s="135">
        <v>120.9</v>
      </c>
      <c r="T72" s="136"/>
      <c r="U72" s="135">
        <v>123.93</v>
      </c>
      <c r="V72" s="136"/>
      <c r="W72" s="135">
        <v>127.61</v>
      </c>
      <c r="X72" s="136"/>
      <c r="Y72" s="135">
        <v>131.83000000000001</v>
      </c>
      <c r="Z72" s="136"/>
      <c r="AA72" s="135">
        <v>136.5</v>
      </c>
      <c r="AC72" s="135">
        <v>121.35</v>
      </c>
    </row>
    <row r="73" spans="2:31" x14ac:dyDescent="0.2">
      <c r="B73" s="139">
        <f t="shared" si="7"/>
        <v>70</v>
      </c>
      <c r="C73" s="133">
        <f t="shared" si="8"/>
        <v>47294</v>
      </c>
      <c r="D73" s="133">
        <f t="shared" si="6"/>
        <v>47324</v>
      </c>
      <c r="E73" s="195">
        <v>3.78546</v>
      </c>
      <c r="G73" s="135">
        <v>119.69</v>
      </c>
      <c r="H73" s="136"/>
      <c r="I73" s="135">
        <v>117.35</v>
      </c>
      <c r="J73" s="136"/>
      <c r="K73" s="135">
        <v>116.11</v>
      </c>
      <c r="L73" s="136"/>
      <c r="M73" s="135">
        <v>116.24</v>
      </c>
      <c r="N73" s="136"/>
      <c r="O73" s="135">
        <v>117.05</v>
      </c>
      <c r="P73" s="136"/>
      <c r="Q73" s="135">
        <v>118.59</v>
      </c>
      <c r="R73" s="136"/>
      <c r="S73" s="135">
        <v>120.9</v>
      </c>
      <c r="T73" s="136"/>
      <c r="U73" s="135">
        <v>123.93</v>
      </c>
      <c r="V73" s="136"/>
      <c r="W73" s="135">
        <v>127.61</v>
      </c>
      <c r="X73" s="136"/>
      <c r="Y73" s="135">
        <v>131.84</v>
      </c>
      <c r="Z73" s="136"/>
      <c r="AA73" s="135">
        <v>136.5</v>
      </c>
      <c r="AC73" s="135">
        <v>121.35</v>
      </c>
    </row>
    <row r="74" spans="2:31" x14ac:dyDescent="0.2">
      <c r="B74" s="139">
        <f t="shared" si="7"/>
        <v>71</v>
      </c>
      <c r="C74" s="133">
        <f t="shared" si="8"/>
        <v>47324</v>
      </c>
      <c r="D74" s="133">
        <f t="shared" si="6"/>
        <v>47355</v>
      </c>
      <c r="E74" s="195">
        <v>3.7860499999999999</v>
      </c>
      <c r="G74" s="135">
        <v>116.22</v>
      </c>
      <c r="H74" s="136"/>
      <c r="I74" s="135">
        <v>114.22</v>
      </c>
      <c r="J74" s="136"/>
      <c r="K74" s="135">
        <v>113.31</v>
      </c>
      <c r="L74" s="136"/>
      <c r="M74" s="135">
        <v>113.59</v>
      </c>
      <c r="N74" s="136"/>
      <c r="O74" s="135">
        <v>114.5</v>
      </c>
      <c r="P74" s="136"/>
      <c r="Q74" s="135">
        <v>116.12</v>
      </c>
      <c r="R74" s="136"/>
      <c r="S74" s="135">
        <v>118.45</v>
      </c>
      <c r="T74" s="136"/>
      <c r="U74" s="135">
        <v>121.46</v>
      </c>
      <c r="V74" s="136"/>
      <c r="W74" s="135">
        <v>125.08</v>
      </c>
      <c r="X74" s="136"/>
      <c r="Y74" s="135">
        <v>129.19999999999999</v>
      </c>
      <c r="Z74" s="136"/>
      <c r="AA74" s="135">
        <v>133.72999999999999</v>
      </c>
      <c r="AC74" s="135">
        <v>118.87</v>
      </c>
    </row>
    <row r="75" spans="2:31" s="140" customFormat="1" x14ac:dyDescent="0.2">
      <c r="B75" s="138">
        <f t="shared" si="7"/>
        <v>72</v>
      </c>
      <c r="C75" s="137">
        <f t="shared" si="8"/>
        <v>47355</v>
      </c>
      <c r="D75" s="137">
        <f t="shared" si="6"/>
        <v>47386</v>
      </c>
      <c r="E75" s="195">
        <v>3.78566</v>
      </c>
      <c r="G75" s="141">
        <v>112.51</v>
      </c>
      <c r="H75" s="142"/>
      <c r="I75" s="141">
        <v>110.87</v>
      </c>
      <c r="J75" s="142"/>
      <c r="K75" s="141">
        <v>110.31</v>
      </c>
      <c r="L75" s="142"/>
      <c r="M75" s="141">
        <v>110.75</v>
      </c>
      <c r="N75" s="142"/>
      <c r="O75" s="141">
        <v>111.79</v>
      </c>
      <c r="P75" s="142"/>
      <c r="Q75" s="141">
        <v>113.49</v>
      </c>
      <c r="R75" s="142"/>
      <c r="S75" s="141">
        <v>115.85</v>
      </c>
      <c r="T75" s="142"/>
      <c r="U75" s="141">
        <v>118.84</v>
      </c>
      <c r="V75" s="142"/>
      <c r="W75" s="141">
        <v>122.38</v>
      </c>
      <c r="X75" s="142"/>
      <c r="Y75" s="141">
        <v>126.4</v>
      </c>
      <c r="Z75" s="142"/>
      <c r="AA75" s="141">
        <v>130.79</v>
      </c>
      <c r="AC75" s="141">
        <v>116.48</v>
      </c>
      <c r="AE75"/>
    </row>
    <row r="76" spans="2:31" x14ac:dyDescent="0.2">
      <c r="B76" s="139">
        <f t="shared" si="7"/>
        <v>73</v>
      </c>
      <c r="C76" s="133">
        <f t="shared" si="8"/>
        <v>47386</v>
      </c>
      <c r="D76" s="133">
        <f t="shared" si="6"/>
        <v>47416</v>
      </c>
      <c r="E76" s="195">
        <v>3.7944599999999999</v>
      </c>
      <c r="G76" s="135">
        <v>108.78</v>
      </c>
      <c r="H76" s="136"/>
      <c r="I76" s="135">
        <v>107.5</v>
      </c>
      <c r="J76" s="136"/>
      <c r="K76" s="135">
        <v>107.33</v>
      </c>
      <c r="L76" s="136"/>
      <c r="M76" s="135">
        <v>107.93</v>
      </c>
      <c r="N76" s="136"/>
      <c r="O76" s="135">
        <v>109.1</v>
      </c>
      <c r="P76" s="136"/>
      <c r="Q76" s="135">
        <v>110.89</v>
      </c>
      <c r="R76" s="136"/>
      <c r="S76" s="135">
        <v>113.3</v>
      </c>
      <c r="T76" s="136"/>
      <c r="U76" s="135">
        <v>116.28</v>
      </c>
      <c r="V76" s="136"/>
      <c r="W76" s="135">
        <v>119.77</v>
      </c>
      <c r="X76" s="136"/>
      <c r="Y76" s="135">
        <v>123.69</v>
      </c>
      <c r="Z76" s="136"/>
      <c r="AA76" s="135">
        <v>127.95</v>
      </c>
      <c r="AC76" s="135">
        <v>113.96</v>
      </c>
    </row>
    <row r="77" spans="2:31" x14ac:dyDescent="0.2">
      <c r="B77" s="139">
        <f t="shared" si="7"/>
        <v>74</v>
      </c>
      <c r="C77" s="133">
        <f t="shared" si="8"/>
        <v>47416</v>
      </c>
      <c r="D77" s="133">
        <f t="shared" si="6"/>
        <v>47447</v>
      </c>
      <c r="E77" s="195">
        <v>3.7957100000000001</v>
      </c>
      <c r="G77" s="135">
        <v>108.67</v>
      </c>
      <c r="H77" s="136"/>
      <c r="I77" s="135">
        <v>107.4</v>
      </c>
      <c r="J77" s="136"/>
      <c r="K77" s="135">
        <v>107.23</v>
      </c>
      <c r="L77" s="136"/>
      <c r="M77" s="135">
        <v>107.84</v>
      </c>
      <c r="N77" s="136"/>
      <c r="O77" s="135">
        <v>109.01</v>
      </c>
      <c r="P77" s="136"/>
      <c r="Q77" s="135">
        <v>110.81</v>
      </c>
      <c r="R77" s="136"/>
      <c r="S77" s="135">
        <v>113.22</v>
      </c>
      <c r="T77" s="136"/>
      <c r="U77" s="135">
        <v>116.2</v>
      </c>
      <c r="V77" s="136"/>
      <c r="W77" s="135">
        <v>119.68</v>
      </c>
      <c r="X77" s="136"/>
      <c r="Y77" s="135">
        <v>123.59</v>
      </c>
      <c r="Z77" s="136"/>
      <c r="AA77" s="135">
        <v>127.85</v>
      </c>
      <c r="AC77" s="135">
        <v>113.95</v>
      </c>
    </row>
    <row r="78" spans="2:31" x14ac:dyDescent="0.2">
      <c r="B78" s="139">
        <f t="shared" si="7"/>
        <v>75</v>
      </c>
      <c r="C78" s="133">
        <f t="shared" si="8"/>
        <v>47447</v>
      </c>
      <c r="D78" s="133">
        <f t="shared" si="6"/>
        <v>47477</v>
      </c>
      <c r="E78" s="195">
        <v>3.7951100000000002</v>
      </c>
      <c r="G78" s="135">
        <v>108.67</v>
      </c>
      <c r="H78" s="136"/>
      <c r="I78" s="135">
        <v>107.4</v>
      </c>
      <c r="J78" s="136"/>
      <c r="K78" s="135">
        <v>107.23</v>
      </c>
      <c r="L78" s="136"/>
      <c r="M78" s="135">
        <v>107.84</v>
      </c>
      <c r="N78" s="136"/>
      <c r="O78" s="135">
        <v>109.01</v>
      </c>
      <c r="P78" s="136"/>
      <c r="Q78" s="135">
        <v>110.81</v>
      </c>
      <c r="R78" s="136"/>
      <c r="S78" s="135">
        <v>113.21</v>
      </c>
      <c r="T78" s="136"/>
      <c r="U78" s="135">
        <v>116.19</v>
      </c>
      <c r="V78" s="136"/>
      <c r="W78" s="135">
        <v>119.68</v>
      </c>
      <c r="X78" s="136"/>
      <c r="Y78" s="135">
        <v>123.59</v>
      </c>
      <c r="Z78" s="136"/>
      <c r="AA78" s="135">
        <v>127.85</v>
      </c>
      <c r="AC78" s="135">
        <v>113.95</v>
      </c>
    </row>
    <row r="79" spans="2:31" x14ac:dyDescent="0.2">
      <c r="B79" s="139">
        <f t="shared" si="7"/>
        <v>76</v>
      </c>
      <c r="C79" s="133">
        <f t="shared" si="8"/>
        <v>47477</v>
      </c>
      <c r="D79" s="133">
        <f t="shared" si="6"/>
        <v>47508</v>
      </c>
      <c r="E79" s="195">
        <v>3.7955100000000002</v>
      </c>
      <c r="G79" s="135">
        <v>108.67</v>
      </c>
      <c r="H79" s="136"/>
      <c r="I79" s="135">
        <v>107.4</v>
      </c>
      <c r="J79" s="136"/>
      <c r="K79" s="135">
        <v>107.23</v>
      </c>
      <c r="L79" s="136"/>
      <c r="M79" s="135">
        <v>107.84</v>
      </c>
      <c r="N79" s="136"/>
      <c r="O79" s="135">
        <v>109.02</v>
      </c>
      <c r="P79" s="136"/>
      <c r="Q79" s="135">
        <v>110.81</v>
      </c>
      <c r="R79" s="136"/>
      <c r="S79" s="135">
        <v>113.21</v>
      </c>
      <c r="T79" s="136"/>
      <c r="U79" s="135">
        <v>116.19</v>
      </c>
      <c r="V79" s="136"/>
      <c r="W79" s="135">
        <v>119.68</v>
      </c>
      <c r="X79" s="136"/>
      <c r="Y79" s="135">
        <v>123.59</v>
      </c>
      <c r="Z79" s="136"/>
      <c r="AA79" s="135">
        <v>127.85</v>
      </c>
      <c r="AC79" s="135">
        <v>113.95</v>
      </c>
    </row>
    <row r="80" spans="2:31" x14ac:dyDescent="0.2">
      <c r="B80" s="139">
        <f t="shared" si="7"/>
        <v>77</v>
      </c>
      <c r="C80" s="133">
        <f t="shared" si="8"/>
        <v>47508</v>
      </c>
      <c r="D80" s="133">
        <f t="shared" si="6"/>
        <v>47539</v>
      </c>
      <c r="E80" s="195">
        <v>3.7955100000000002</v>
      </c>
      <c r="G80" s="135">
        <v>108.67</v>
      </c>
      <c r="H80" s="136"/>
      <c r="I80" s="135">
        <v>107.4</v>
      </c>
      <c r="J80" s="136"/>
      <c r="K80" s="135">
        <v>107.23</v>
      </c>
      <c r="L80" s="136"/>
      <c r="M80" s="135">
        <v>107.84</v>
      </c>
      <c r="N80" s="136"/>
      <c r="O80" s="135">
        <v>109.02</v>
      </c>
      <c r="P80" s="136"/>
      <c r="Q80" s="135">
        <v>110.81</v>
      </c>
      <c r="R80" s="136"/>
      <c r="S80" s="135">
        <v>113.21</v>
      </c>
      <c r="T80" s="136"/>
      <c r="U80" s="135">
        <v>116.19</v>
      </c>
      <c r="V80" s="136"/>
      <c r="W80" s="135">
        <v>119.68</v>
      </c>
      <c r="X80" s="136"/>
      <c r="Y80" s="135">
        <v>123.59</v>
      </c>
      <c r="Z80" s="136"/>
      <c r="AA80" s="135">
        <v>127.85</v>
      </c>
      <c r="AC80" s="135">
        <v>113.95</v>
      </c>
    </row>
    <row r="81" spans="2:29" x14ac:dyDescent="0.2">
      <c r="B81" s="139">
        <f t="shared" si="7"/>
        <v>78</v>
      </c>
      <c r="C81" s="133">
        <f t="shared" si="8"/>
        <v>47539</v>
      </c>
      <c r="D81" s="133">
        <f t="shared" si="6"/>
        <v>47567</v>
      </c>
      <c r="E81" s="195">
        <v>3.7947099999999998</v>
      </c>
      <c r="G81" s="135">
        <v>108.67</v>
      </c>
      <c r="H81" s="136"/>
      <c r="I81" s="135">
        <v>107.4</v>
      </c>
      <c r="J81" s="136"/>
      <c r="K81" s="135">
        <v>107.24</v>
      </c>
      <c r="L81" s="136"/>
      <c r="M81" s="135">
        <v>107.84</v>
      </c>
      <c r="N81" s="136"/>
      <c r="O81" s="135">
        <v>109.02</v>
      </c>
      <c r="P81" s="136"/>
      <c r="Q81" s="135">
        <v>110.81</v>
      </c>
      <c r="R81" s="136"/>
      <c r="S81" s="135">
        <v>113.22</v>
      </c>
      <c r="T81" s="136"/>
      <c r="U81" s="135">
        <v>116.2</v>
      </c>
      <c r="V81" s="136"/>
      <c r="W81" s="135">
        <v>119.69</v>
      </c>
      <c r="X81" s="136"/>
      <c r="Y81" s="135">
        <v>123.6</v>
      </c>
      <c r="Z81" s="136"/>
      <c r="AA81" s="135">
        <v>127.85</v>
      </c>
      <c r="AC81" s="135">
        <v>113.96</v>
      </c>
    </row>
    <row r="82" spans="2:29" x14ac:dyDescent="0.2">
      <c r="B82" s="139">
        <f t="shared" si="7"/>
        <v>79</v>
      </c>
      <c r="C82" s="133">
        <f t="shared" si="8"/>
        <v>47567</v>
      </c>
      <c r="D82" s="133">
        <f t="shared" si="6"/>
        <v>47598</v>
      </c>
      <c r="E82" s="195">
        <v>3.7953100000000002</v>
      </c>
      <c r="G82" s="135">
        <v>108.67</v>
      </c>
      <c r="H82" s="136"/>
      <c r="I82" s="135">
        <v>107.41</v>
      </c>
      <c r="J82" s="136"/>
      <c r="K82" s="135">
        <v>107.24</v>
      </c>
      <c r="L82" s="136"/>
      <c r="M82" s="135">
        <v>107.84</v>
      </c>
      <c r="N82" s="136"/>
      <c r="O82" s="135">
        <v>109.02</v>
      </c>
      <c r="P82" s="136"/>
      <c r="Q82" s="135">
        <v>110.81</v>
      </c>
      <c r="R82" s="136"/>
      <c r="S82" s="135">
        <v>113.22</v>
      </c>
      <c r="T82" s="136"/>
      <c r="U82" s="135">
        <v>116.2</v>
      </c>
      <c r="V82" s="136"/>
      <c r="W82" s="135">
        <v>119.68</v>
      </c>
      <c r="X82" s="136"/>
      <c r="Y82" s="135">
        <v>123.6</v>
      </c>
      <c r="Z82" s="136"/>
      <c r="AA82" s="135">
        <v>127.85</v>
      </c>
      <c r="AC82" s="135">
        <v>113.96</v>
      </c>
    </row>
    <row r="83" spans="2:29" x14ac:dyDescent="0.2">
      <c r="B83" s="139">
        <f t="shared" si="7"/>
        <v>80</v>
      </c>
      <c r="C83" s="133">
        <f t="shared" si="8"/>
        <v>47598</v>
      </c>
      <c r="D83" s="133">
        <f t="shared" si="6"/>
        <v>47628</v>
      </c>
      <c r="E83" s="195">
        <v>3.7951100000000002</v>
      </c>
      <c r="G83" s="135">
        <v>108.68</v>
      </c>
      <c r="H83" s="136"/>
      <c r="I83" s="135">
        <v>107.41</v>
      </c>
      <c r="J83" s="136"/>
      <c r="K83" s="135">
        <v>107.24</v>
      </c>
      <c r="L83" s="136"/>
      <c r="M83" s="135">
        <v>107.84</v>
      </c>
      <c r="N83" s="136"/>
      <c r="O83" s="135">
        <v>109.02</v>
      </c>
      <c r="P83" s="136"/>
      <c r="Q83" s="135">
        <v>110.81</v>
      </c>
      <c r="R83" s="136"/>
      <c r="S83" s="135">
        <v>113.21</v>
      </c>
      <c r="T83" s="136"/>
      <c r="U83" s="135">
        <v>116.2</v>
      </c>
      <c r="V83" s="136"/>
      <c r="W83" s="135">
        <v>119.68</v>
      </c>
      <c r="X83" s="136"/>
      <c r="Y83" s="135">
        <v>123.59</v>
      </c>
      <c r="Z83" s="136"/>
      <c r="AA83" s="135">
        <v>127.85</v>
      </c>
      <c r="AC83" s="135">
        <v>113.95</v>
      </c>
    </row>
    <row r="84" spans="2:29" x14ac:dyDescent="0.2">
      <c r="B84" s="139">
        <f t="shared" si="7"/>
        <v>81</v>
      </c>
      <c r="C84" s="133">
        <f t="shared" si="8"/>
        <v>47628</v>
      </c>
      <c r="D84" s="133">
        <f t="shared" si="6"/>
        <v>47659</v>
      </c>
      <c r="E84" s="195">
        <v>3.7953100000000002</v>
      </c>
      <c r="G84" s="135">
        <v>108.68</v>
      </c>
      <c r="H84" s="136"/>
      <c r="I84" s="135">
        <v>107.41</v>
      </c>
      <c r="J84" s="136"/>
      <c r="K84" s="135">
        <v>107.24</v>
      </c>
      <c r="L84" s="136"/>
      <c r="M84" s="135">
        <v>107.84</v>
      </c>
      <c r="N84" s="136"/>
      <c r="O84" s="135">
        <v>109.02</v>
      </c>
      <c r="P84" s="136"/>
      <c r="Q84" s="135">
        <v>110.81</v>
      </c>
      <c r="R84" s="136"/>
      <c r="S84" s="135">
        <v>113.22</v>
      </c>
      <c r="T84" s="136"/>
      <c r="U84" s="135">
        <v>116.2</v>
      </c>
      <c r="V84" s="136"/>
      <c r="W84" s="135">
        <v>119.69</v>
      </c>
      <c r="X84" s="136"/>
      <c r="Y84" s="135">
        <v>123.6</v>
      </c>
      <c r="Z84" s="136"/>
      <c r="AA84" s="135">
        <v>127.86</v>
      </c>
      <c r="AC84" s="135">
        <v>113.96</v>
      </c>
    </row>
    <row r="85" spans="2:29" x14ac:dyDescent="0.2">
      <c r="B85" s="139">
        <f t="shared" si="7"/>
        <v>82</v>
      </c>
      <c r="C85" s="133">
        <f t="shared" si="8"/>
        <v>47659</v>
      </c>
      <c r="D85" s="133">
        <f t="shared" si="6"/>
        <v>47689</v>
      </c>
      <c r="E85" s="195">
        <v>3.7951100000000002</v>
      </c>
      <c r="G85" s="135">
        <v>108.68</v>
      </c>
      <c r="H85" s="136"/>
      <c r="I85" s="135">
        <v>107.41</v>
      </c>
      <c r="J85" s="136"/>
      <c r="K85" s="135">
        <v>107.24</v>
      </c>
      <c r="L85" s="136"/>
      <c r="M85" s="135">
        <v>107.84</v>
      </c>
      <c r="N85" s="136"/>
      <c r="O85" s="135">
        <v>109.02</v>
      </c>
      <c r="P85" s="136"/>
      <c r="Q85" s="135">
        <v>110.81</v>
      </c>
      <c r="R85" s="136"/>
      <c r="S85" s="135">
        <v>113.22</v>
      </c>
      <c r="T85" s="136"/>
      <c r="U85" s="135">
        <v>116.2</v>
      </c>
      <c r="V85" s="136"/>
      <c r="W85" s="135">
        <v>119.69</v>
      </c>
      <c r="X85" s="136"/>
      <c r="Y85" s="135">
        <v>123.6</v>
      </c>
      <c r="Z85" s="136"/>
      <c r="AA85" s="135">
        <v>127.86</v>
      </c>
      <c r="AC85" s="135">
        <v>113.87</v>
      </c>
    </row>
    <row r="86" spans="2:29" x14ac:dyDescent="0.2">
      <c r="B86" s="139">
        <f t="shared" si="7"/>
        <v>83</v>
      </c>
      <c r="C86" s="133">
        <f t="shared" si="8"/>
        <v>47689</v>
      </c>
      <c r="D86" s="133">
        <f t="shared" si="6"/>
        <v>47720</v>
      </c>
      <c r="E86" s="195">
        <v>3.7957100000000001</v>
      </c>
      <c r="G86" s="135">
        <v>107.15</v>
      </c>
      <c r="H86" s="136"/>
      <c r="I86" s="135">
        <v>106.08</v>
      </c>
      <c r="J86" s="136"/>
      <c r="K86" s="135">
        <v>106.03</v>
      </c>
      <c r="L86" s="136"/>
      <c r="M86" s="135">
        <v>106.64</v>
      </c>
      <c r="N86" s="136"/>
      <c r="O86" s="135">
        <v>107.79</v>
      </c>
      <c r="P86" s="136"/>
      <c r="Q86" s="135">
        <v>109.5</v>
      </c>
      <c r="R86" s="136"/>
      <c r="S86" s="135">
        <v>111.79</v>
      </c>
      <c r="T86" s="136"/>
      <c r="U86" s="135">
        <v>114.61</v>
      </c>
      <c r="V86" s="136"/>
      <c r="W86" s="135">
        <v>117.91</v>
      </c>
      <c r="X86" s="136"/>
      <c r="Y86" s="135">
        <v>121.61</v>
      </c>
      <c r="Z86" s="136"/>
      <c r="AA86" s="135">
        <v>125.65</v>
      </c>
      <c r="AC86" s="135">
        <v>112.63</v>
      </c>
    </row>
    <row r="87" spans="2:29" x14ac:dyDescent="0.2">
      <c r="B87" s="138">
        <f t="shared" si="7"/>
        <v>84</v>
      </c>
      <c r="C87" s="137">
        <f t="shared" si="8"/>
        <v>47720</v>
      </c>
      <c r="D87" s="137">
        <f t="shared" si="6"/>
        <v>47751</v>
      </c>
      <c r="E87" s="195">
        <v>3.7953100000000002</v>
      </c>
      <c r="G87" s="135">
        <v>105.73</v>
      </c>
      <c r="H87" s="136"/>
      <c r="I87" s="135">
        <v>104.84</v>
      </c>
      <c r="J87" s="136"/>
      <c r="K87" s="135">
        <v>104.9</v>
      </c>
      <c r="L87" s="136"/>
      <c r="M87" s="135">
        <v>105.52</v>
      </c>
      <c r="N87" s="136"/>
      <c r="O87" s="135">
        <v>106.63</v>
      </c>
      <c r="P87" s="136"/>
      <c r="Q87" s="135">
        <v>108.27</v>
      </c>
      <c r="R87" s="136"/>
      <c r="S87" s="135">
        <v>110.45</v>
      </c>
      <c r="T87" s="136"/>
      <c r="U87" s="135">
        <v>113.12</v>
      </c>
      <c r="V87" s="136"/>
      <c r="W87" s="135">
        <v>116.25</v>
      </c>
      <c r="X87" s="136"/>
      <c r="Y87" s="135">
        <v>119.76</v>
      </c>
      <c r="Z87" s="136"/>
      <c r="AA87" s="135">
        <v>123.59</v>
      </c>
      <c r="AC87" s="135">
        <v>111.26</v>
      </c>
    </row>
    <row r="88" spans="2:29" x14ac:dyDescent="0.2">
      <c r="B88" s="134"/>
      <c r="C88" s="133"/>
      <c r="D88" s="133"/>
      <c r="E88" s="132"/>
      <c r="G88" s="132"/>
      <c r="I88" s="132"/>
      <c r="K88" s="132"/>
      <c r="M88" s="132"/>
      <c r="O88" s="132"/>
      <c r="Q88" s="132"/>
      <c r="S88" s="132"/>
      <c r="U88" s="132"/>
      <c r="W88" s="132"/>
      <c r="Y88" s="132"/>
      <c r="AA88" s="132"/>
      <c r="AC88" s="132"/>
    </row>
    <row r="89" spans="2:29" x14ac:dyDescent="0.2">
      <c r="E89" s="132"/>
      <c r="G89" s="132"/>
      <c r="I89" s="132"/>
      <c r="K89" s="132"/>
      <c r="M89" s="132"/>
      <c r="O89" s="132"/>
      <c r="Q89" s="132"/>
      <c r="S89" s="132"/>
      <c r="U89" s="132"/>
      <c r="W89" s="132"/>
      <c r="Y89" s="132"/>
      <c r="AA89" s="132"/>
      <c r="AC89" s="132"/>
    </row>
    <row r="90" spans="2:29" x14ac:dyDescent="0.2">
      <c r="E90" s="132"/>
      <c r="G90" s="132"/>
      <c r="I90" s="132"/>
      <c r="K90" s="132"/>
      <c r="M90" s="132"/>
      <c r="O90" s="132"/>
      <c r="Q90" s="132"/>
      <c r="S90" s="132"/>
      <c r="U90" s="132"/>
      <c r="W90" s="132"/>
      <c r="Y90" s="132"/>
      <c r="AA90" s="132"/>
      <c r="AC90" s="132"/>
    </row>
    <row r="91" spans="2:29" x14ac:dyDescent="0.2">
      <c r="E91" s="132"/>
      <c r="G91" s="132"/>
      <c r="I91" s="132"/>
      <c r="K91" s="132"/>
      <c r="M91" s="132"/>
      <c r="O91" s="132"/>
      <c r="Q91" s="132"/>
      <c r="S91" s="132"/>
      <c r="U91" s="132"/>
      <c r="W91" s="132"/>
      <c r="Y91" s="132"/>
      <c r="AA91" s="132"/>
      <c r="AC91" s="132"/>
    </row>
    <row r="92" spans="2:29" x14ac:dyDescent="0.2">
      <c r="E92" s="132"/>
      <c r="G92" s="132"/>
      <c r="I92" s="132"/>
      <c r="K92" s="132"/>
      <c r="M92" s="132"/>
      <c r="O92" s="132"/>
      <c r="Q92" s="132"/>
      <c r="S92" s="132"/>
      <c r="U92" s="132"/>
      <c r="W92" s="132"/>
      <c r="Y92" s="132"/>
      <c r="AA92" s="132"/>
      <c r="AC92" s="132"/>
    </row>
    <row r="93" spans="2:29" x14ac:dyDescent="0.2">
      <c r="E93" s="132"/>
      <c r="G93" s="132"/>
      <c r="I93" s="132"/>
      <c r="K93" s="132"/>
      <c r="M93" s="132"/>
      <c r="O93" s="132"/>
      <c r="Q93" s="132"/>
      <c r="S93" s="132"/>
      <c r="U93" s="132"/>
      <c r="W93" s="132"/>
      <c r="Y93" s="132"/>
      <c r="AA93" s="132"/>
      <c r="AC93" s="132"/>
    </row>
    <row r="94" spans="2:29" x14ac:dyDescent="0.2">
      <c r="E94" s="132"/>
      <c r="G94" s="132"/>
      <c r="I94" s="132"/>
      <c r="K94" s="132"/>
      <c r="M94" s="132"/>
      <c r="O94" s="132"/>
      <c r="Q94" s="132"/>
      <c r="S94" s="132"/>
      <c r="U94" s="132"/>
      <c r="W94" s="132"/>
      <c r="Y94" s="132"/>
      <c r="AA94" s="132"/>
      <c r="AC94" s="132"/>
    </row>
    <row r="95" spans="2:29" x14ac:dyDescent="0.2">
      <c r="E95" s="132"/>
      <c r="G95" s="132"/>
      <c r="I95" s="132"/>
      <c r="K95" s="132"/>
      <c r="M95" s="132"/>
      <c r="O95" s="132"/>
      <c r="Q95" s="132"/>
      <c r="S95" s="132"/>
      <c r="U95" s="132"/>
      <c r="W95" s="132"/>
      <c r="Y95" s="132"/>
      <c r="AA95" s="132"/>
      <c r="AC95" s="132"/>
    </row>
    <row r="96" spans="2:29" x14ac:dyDescent="0.2">
      <c r="E96" s="132"/>
      <c r="G96" s="132"/>
      <c r="I96" s="132"/>
      <c r="K96" s="132"/>
      <c r="M96" s="132"/>
      <c r="O96" s="132"/>
      <c r="Q96" s="132"/>
      <c r="S96" s="132"/>
      <c r="U96" s="132"/>
      <c r="W96" s="132"/>
      <c r="Y96" s="132"/>
      <c r="AA96" s="132"/>
      <c r="AC96" s="132"/>
    </row>
    <row r="97" spans="5:29" x14ac:dyDescent="0.2">
      <c r="E97" s="132"/>
      <c r="G97" s="132"/>
      <c r="I97" s="132"/>
      <c r="K97" s="132"/>
      <c r="M97" s="132"/>
      <c r="O97" s="132"/>
      <c r="Q97" s="132"/>
      <c r="S97" s="132"/>
      <c r="U97" s="132"/>
      <c r="W97" s="132"/>
      <c r="Y97" s="132"/>
      <c r="AA97" s="132"/>
      <c r="AC97" s="132"/>
    </row>
    <row r="98" spans="5:29" x14ac:dyDescent="0.2">
      <c r="E98" s="132"/>
      <c r="G98" s="132"/>
      <c r="I98" s="132"/>
      <c r="K98" s="132"/>
      <c r="M98" s="132"/>
      <c r="O98" s="132"/>
      <c r="Q98" s="132"/>
      <c r="S98" s="132"/>
      <c r="U98" s="132"/>
      <c r="W98" s="132"/>
      <c r="Y98" s="132"/>
      <c r="AA98" s="132"/>
      <c r="AC98" s="132"/>
    </row>
    <row r="99" spans="5:29" x14ac:dyDescent="0.2">
      <c r="E99" s="132"/>
      <c r="G99" s="132"/>
      <c r="I99" s="132"/>
      <c r="K99" s="132"/>
      <c r="M99" s="132"/>
      <c r="O99" s="132"/>
      <c r="Q99" s="132"/>
      <c r="S99" s="132"/>
      <c r="U99" s="132"/>
      <c r="W99" s="132"/>
      <c r="Y99" s="132"/>
      <c r="AA99" s="132"/>
      <c r="AC99" s="132"/>
    </row>
    <row r="100" spans="5:29" x14ac:dyDescent="0.2">
      <c r="E100" s="132"/>
      <c r="G100" s="132"/>
      <c r="I100" s="132"/>
      <c r="K100" s="132"/>
      <c r="M100" s="132"/>
      <c r="O100" s="132"/>
      <c r="Q100" s="132"/>
      <c r="S100" s="132"/>
      <c r="U100" s="132"/>
      <c r="W100" s="132"/>
      <c r="Y100" s="132"/>
      <c r="AA100" s="132"/>
      <c r="AC100" s="132"/>
    </row>
    <row r="101" spans="5:29" x14ac:dyDescent="0.2">
      <c r="E101" s="132"/>
      <c r="G101" s="132"/>
      <c r="I101" s="132"/>
      <c r="K101" s="132"/>
      <c r="M101" s="132"/>
      <c r="O101" s="132"/>
      <c r="Q101" s="132"/>
      <c r="S101" s="132"/>
      <c r="U101" s="132"/>
      <c r="W101" s="132"/>
      <c r="Y101" s="132"/>
      <c r="AA101" s="132"/>
      <c r="AC101" s="132"/>
    </row>
    <row r="102" spans="5:29" x14ac:dyDescent="0.2">
      <c r="E102" s="132"/>
      <c r="G102" s="132"/>
      <c r="I102" s="132"/>
      <c r="K102" s="132"/>
      <c r="M102" s="132"/>
      <c r="O102" s="132"/>
      <c r="Q102" s="132"/>
      <c r="S102" s="132"/>
      <c r="U102" s="132"/>
      <c r="W102" s="132"/>
      <c r="Y102" s="132"/>
      <c r="AA102" s="132"/>
      <c r="AC102" s="132"/>
    </row>
    <row r="103" spans="5:29" x14ac:dyDescent="0.2">
      <c r="E103" s="132"/>
      <c r="G103" s="132"/>
      <c r="I103" s="132"/>
      <c r="K103" s="132"/>
      <c r="M103" s="132"/>
      <c r="O103" s="132"/>
      <c r="Q103" s="132"/>
      <c r="S103" s="132"/>
      <c r="U103" s="132"/>
      <c r="W103" s="132"/>
      <c r="Y103" s="132"/>
      <c r="AA103" s="132"/>
      <c r="AC103" s="132"/>
    </row>
    <row r="104" spans="5:29" x14ac:dyDescent="0.2">
      <c r="E104" s="132"/>
      <c r="G104" s="132"/>
      <c r="I104" s="132"/>
      <c r="K104" s="132"/>
      <c r="M104" s="132"/>
      <c r="O104" s="132"/>
      <c r="Q104" s="132"/>
      <c r="S104" s="132"/>
      <c r="U104" s="132"/>
      <c r="W104" s="132"/>
      <c r="Y104" s="132"/>
      <c r="AA104" s="132"/>
      <c r="AC104" s="132"/>
    </row>
    <row r="105" spans="5:29" x14ac:dyDescent="0.2">
      <c r="E105" s="132"/>
      <c r="G105" s="132"/>
      <c r="I105" s="132"/>
      <c r="K105" s="132"/>
      <c r="M105" s="132"/>
      <c r="O105" s="132"/>
      <c r="Q105" s="132"/>
      <c r="S105" s="132"/>
      <c r="U105" s="132"/>
      <c r="W105" s="132"/>
      <c r="Y105" s="132"/>
      <c r="AA105" s="132"/>
      <c r="AC105" s="132"/>
    </row>
  </sheetData>
  <sheetProtection algorithmName="SHA-512" hashValue="bbRvLBBkybueuf0XNv52SbZMxwNwfYSAgtf8WR5b7xwUNOU1QZwCQQn9hrL5evpQjLwdm2kYJ3nVxA9XEDVldw==" saltValue="wXl+22XzZ1WhrUFI28ykig==" spinCount="100000" sheet="1" objects="1" scenarios="1"/>
  <autoFilter ref="B3:E87" xr:uid="{94800B0D-70DC-4716-A54A-C7C1FBCA5B02}"/>
  <pageMargins left="0.7" right="0.7" top="0.75" bottom="0.75" header="0.3" footer="0.3"/>
  <pageSetup scale="3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L99"/>
  <sheetViews>
    <sheetView showGridLines="0" zoomScale="85" zoomScaleNormal="85" workbookViewId="0">
      <selection activeCell="L15" sqref="L15:L98"/>
    </sheetView>
  </sheetViews>
  <sheetFormatPr defaultColWidth="14.28515625" defaultRowHeight="15.75" customHeight="1" x14ac:dyDescent="0.2"/>
  <cols>
    <col min="1" max="1" width="14.28515625" style="45" customWidth="1"/>
    <col min="2" max="2" width="15.28515625" style="45" customWidth="1"/>
    <col min="3" max="3" width="8.140625" style="45" customWidth="1"/>
    <col min="4" max="5" width="10.85546875" style="45" customWidth="1"/>
    <col min="6" max="6" width="5.28515625" style="45" customWidth="1"/>
    <col min="7" max="7" width="8.140625" style="45" customWidth="1"/>
    <col min="8" max="8" width="17.28515625" style="45" customWidth="1"/>
    <col min="9" max="9" width="14.7109375" style="45" customWidth="1"/>
    <col min="10" max="10" width="14.5703125" style="45" customWidth="1"/>
    <col min="11" max="11" width="12.5703125" style="45" customWidth="1"/>
    <col min="12" max="12" width="14.5703125" style="45" customWidth="1"/>
    <col min="13" max="13" width="14.28515625" style="45" customWidth="1"/>
    <col min="14" max="14" width="17.140625" style="45" customWidth="1"/>
    <col min="15" max="15" width="14.28515625" style="45" customWidth="1"/>
    <col min="16" max="16" width="3.140625" style="45" customWidth="1"/>
    <col min="17" max="18" width="14.28515625" style="45" customWidth="1"/>
    <col min="19" max="19" width="2.85546875" style="45" customWidth="1"/>
    <col min="20" max="21" width="14.28515625" style="45" customWidth="1"/>
    <col min="22" max="22" width="8.140625" style="45" customWidth="1"/>
    <col min="23" max="24" width="10.28515625" style="45" customWidth="1"/>
    <col min="25" max="25" width="5.28515625" style="45" customWidth="1"/>
    <col min="26" max="26" width="8.140625" style="45" customWidth="1"/>
    <col min="27" max="28" width="17.28515625" style="45" customWidth="1"/>
    <col min="29" max="29" width="14.5703125" style="45" customWidth="1"/>
    <col min="30" max="30" width="12.5703125" style="45" customWidth="1"/>
    <col min="31" max="31" width="14.5703125" style="45" customWidth="1"/>
    <col min="32" max="32" width="14.28515625" style="45" customWidth="1"/>
    <col min="33" max="33" width="17.140625" style="45" customWidth="1"/>
    <col min="34" max="34" width="14.5703125" style="45" customWidth="1"/>
    <col min="35" max="35" width="2.85546875" style="45" customWidth="1"/>
    <col min="36" max="36" width="14.5703125" style="45" customWidth="1"/>
    <col min="37" max="37" width="16.7109375" style="45" customWidth="1"/>
    <col min="38" max="38" width="2.85546875" style="45" customWidth="1"/>
    <col min="39" max="39" width="14.5703125" style="45" customWidth="1"/>
    <col min="40" max="40" width="14.28515625" style="45" customWidth="1"/>
    <col min="41" max="41" width="8.140625" style="45" customWidth="1"/>
    <col min="42" max="43" width="10.28515625" style="45" customWidth="1"/>
    <col min="44" max="44" width="5.28515625" style="45" customWidth="1"/>
    <col min="45" max="45" width="8.140625" style="45" customWidth="1"/>
    <col min="46" max="47" width="17.28515625" style="45" customWidth="1"/>
    <col min="48" max="48" width="14.5703125" style="45" customWidth="1"/>
    <col min="49" max="49" width="12.5703125" style="45" customWidth="1"/>
    <col min="50" max="51" width="14.5703125" style="45" customWidth="1"/>
    <col min="52" max="52" width="17.140625" style="45" customWidth="1"/>
    <col min="53" max="53" width="14.5703125" style="45" customWidth="1"/>
    <col min="54" max="54" width="2.85546875" style="45" customWidth="1"/>
    <col min="55" max="55" width="14.5703125" style="45" customWidth="1"/>
    <col min="56" max="56" width="18.5703125" style="45" customWidth="1"/>
    <col min="57" max="57" width="2.85546875" style="45" customWidth="1"/>
    <col min="58" max="58" width="14.5703125" style="45" customWidth="1"/>
    <col min="59" max="59" width="14.28515625" style="45" customWidth="1"/>
    <col min="60" max="60" width="8.140625" style="45" customWidth="1"/>
    <col min="61" max="62" width="10.28515625" style="45" customWidth="1"/>
    <col min="63" max="63" width="5.28515625" style="45" customWidth="1"/>
    <col min="64" max="64" width="8.140625" style="45" customWidth="1"/>
    <col min="65" max="66" width="17.28515625" style="45" customWidth="1"/>
    <col min="67" max="67" width="14.5703125" style="45" customWidth="1"/>
    <col min="68" max="68" width="12.5703125" style="45" customWidth="1"/>
    <col min="69" max="70" width="14.5703125" style="45" customWidth="1"/>
    <col min="71" max="71" width="17.140625" style="45" customWidth="1"/>
    <col min="72" max="72" width="14.5703125" style="45" customWidth="1"/>
    <col min="73" max="73" width="2.85546875" style="45" customWidth="1"/>
    <col min="74" max="74" width="14.5703125" style="45" customWidth="1"/>
    <col min="75" max="75" width="20.28515625" style="45" customWidth="1"/>
    <col min="76" max="76" width="2.85546875" style="45" customWidth="1"/>
    <col min="77" max="77" width="14.5703125" style="45" customWidth="1"/>
    <col min="78" max="78" width="14.28515625" style="45" customWidth="1"/>
    <col min="79" max="79" width="8.140625" style="45" customWidth="1"/>
    <col min="80" max="81" width="10.28515625" style="45" customWidth="1"/>
    <col min="82" max="82" width="5.28515625" style="45" customWidth="1"/>
    <col min="83" max="83" width="8.140625" style="45" customWidth="1"/>
    <col min="84" max="85" width="17.28515625" style="45" customWidth="1"/>
    <col min="86" max="86" width="14.5703125" style="45" customWidth="1"/>
    <col min="87" max="87" width="12.5703125" style="45" customWidth="1"/>
    <col min="88" max="89" width="14.5703125" style="45" customWidth="1"/>
    <col min="90" max="90" width="17.140625" style="45" customWidth="1"/>
    <col min="91" max="91" width="14.5703125" style="45" customWidth="1"/>
    <col min="92" max="92" width="2.85546875" style="45" customWidth="1"/>
    <col min="93" max="93" width="14.5703125" style="45" customWidth="1"/>
    <col min="94" max="94" width="21.28515625" style="45" customWidth="1"/>
    <col min="95" max="95" width="2.85546875" style="45" customWidth="1"/>
    <col min="96" max="96" width="14.5703125" style="45" customWidth="1"/>
    <col min="97" max="97" width="14.28515625" style="45" customWidth="1"/>
    <col min="98" max="16384" width="14.28515625" style="45"/>
  </cols>
  <sheetData>
    <row r="1" spans="1:116" ht="15.75" customHeight="1" x14ac:dyDescent="0.2">
      <c r="A1" s="44">
        <v>0.25</v>
      </c>
      <c r="K1" s="46" t="s">
        <v>41</v>
      </c>
      <c r="L1" s="46" t="s">
        <v>35</v>
      </c>
      <c r="AD1" s="46" t="s">
        <v>41</v>
      </c>
      <c r="AE1" s="46" t="s">
        <v>35</v>
      </c>
      <c r="AW1" s="46" t="s">
        <v>41</v>
      </c>
      <c r="AX1" s="46" t="s">
        <v>35</v>
      </c>
      <c r="BP1" s="46" t="s">
        <v>41</v>
      </c>
      <c r="BQ1" s="46" t="s">
        <v>35</v>
      </c>
      <c r="CI1" s="46" t="s">
        <v>41</v>
      </c>
      <c r="CJ1" s="46" t="s">
        <v>35</v>
      </c>
      <c r="CT1"/>
      <c r="CU1"/>
      <c r="CV1"/>
      <c r="CW1"/>
      <c r="CX1"/>
      <c r="CY1"/>
      <c r="CZ1"/>
      <c r="DA1"/>
      <c r="DB1"/>
      <c r="DC1"/>
      <c r="DD1"/>
      <c r="DE1"/>
      <c r="DF1"/>
      <c r="DG1"/>
      <c r="DH1"/>
      <c r="DI1"/>
      <c r="DJ1"/>
      <c r="DK1"/>
      <c r="DL1"/>
    </row>
    <row r="2" spans="1:116" ht="15.75" customHeight="1" x14ac:dyDescent="0.2">
      <c r="A2" s="45" t="s">
        <v>0</v>
      </c>
      <c r="B2" s="47">
        <f>'Cap Pricer'!E18</f>
        <v>25000000</v>
      </c>
      <c r="F2" s="48" t="s">
        <v>15</v>
      </c>
      <c r="G2" s="49"/>
      <c r="H2" s="49"/>
      <c r="K2" s="50">
        <v>1E-4</v>
      </c>
      <c r="L2" s="50">
        <v>0.01</v>
      </c>
      <c r="M2" s="51"/>
      <c r="N2" s="52"/>
      <c r="Q2" s="52"/>
      <c r="T2" s="45" t="s">
        <v>32</v>
      </c>
      <c r="Y2" s="48" t="s">
        <v>15</v>
      </c>
      <c r="Z2" s="49"/>
      <c r="AA2" s="49"/>
      <c r="AD2" s="50">
        <v>1E-4</v>
      </c>
      <c r="AE2" s="50">
        <v>0.01</v>
      </c>
      <c r="AF2" s="53"/>
      <c r="AM2" s="45" t="s">
        <v>32</v>
      </c>
      <c r="AR2" s="48" t="s">
        <v>15</v>
      </c>
      <c r="AS2" s="49"/>
      <c r="AT2" s="49"/>
      <c r="AW2" s="50">
        <v>1E-4</v>
      </c>
      <c r="AX2" s="50">
        <v>0.01</v>
      </c>
      <c r="AY2" s="53"/>
      <c r="BF2" s="45" t="s">
        <v>32</v>
      </c>
      <c r="BK2" s="48" t="s">
        <v>15</v>
      </c>
      <c r="BL2" s="49"/>
      <c r="BM2" s="49"/>
      <c r="BP2" s="50">
        <v>1E-4</v>
      </c>
      <c r="BQ2" s="50">
        <v>0.01</v>
      </c>
      <c r="BR2" s="53"/>
      <c r="BY2" s="45" t="s">
        <v>32</v>
      </c>
      <c r="CD2" s="48" t="s">
        <v>15</v>
      </c>
      <c r="CE2" s="49"/>
      <c r="CF2" s="49"/>
      <c r="CI2" s="50">
        <v>1E-4</v>
      </c>
      <c r="CJ2" s="50">
        <v>0.01</v>
      </c>
      <c r="CK2" s="53"/>
      <c r="CR2" s="45" t="s">
        <v>32</v>
      </c>
      <c r="CT2"/>
      <c r="CU2"/>
      <c r="CV2"/>
      <c r="CW2"/>
      <c r="CX2"/>
      <c r="CY2"/>
      <c r="CZ2"/>
      <c r="DA2"/>
      <c r="DB2"/>
      <c r="DC2"/>
      <c r="DD2"/>
      <c r="DE2"/>
      <c r="DF2"/>
      <c r="DG2"/>
      <c r="DH2"/>
      <c r="DI2"/>
      <c r="DJ2"/>
      <c r="DK2"/>
      <c r="DL2"/>
    </row>
    <row r="3" spans="1:116" ht="15.75" customHeight="1" x14ac:dyDescent="0.2">
      <c r="F3" s="52">
        <v>1</v>
      </c>
      <c r="G3" s="45" t="s">
        <v>16</v>
      </c>
      <c r="H3" s="54">
        <f ca="1">SUM(L15:L26)</f>
        <v>826989.1217648465</v>
      </c>
      <c r="I3" s="54"/>
      <c r="K3" s="50">
        <v>0.01</v>
      </c>
      <c r="L3" s="50">
        <v>0.02</v>
      </c>
      <c r="M3" s="55"/>
      <c r="N3" s="56"/>
      <c r="Q3" s="57"/>
      <c r="T3" s="45" t="s">
        <v>33</v>
      </c>
      <c r="Y3" s="52">
        <v>1</v>
      </c>
      <c r="Z3" s="45" t="s">
        <v>16</v>
      </c>
      <c r="AA3" s="54">
        <f ca="1">SUM(AE15:AE26)</f>
        <v>583821.84965826035</v>
      </c>
      <c r="AB3" s="54"/>
      <c r="AD3" s="50">
        <v>0.01</v>
      </c>
      <c r="AE3" s="50">
        <v>0.02</v>
      </c>
      <c r="AM3" s="45" t="s">
        <v>33</v>
      </c>
      <c r="AR3" s="52">
        <v>1</v>
      </c>
      <c r="AS3" s="45" t="s">
        <v>16</v>
      </c>
      <c r="AT3" s="54">
        <f ca="1">SUM(AX15:AX26)</f>
        <v>342969.6182982942</v>
      </c>
      <c r="AU3" s="54"/>
      <c r="AW3" s="50">
        <v>0.01</v>
      </c>
      <c r="AX3" s="50">
        <v>0.02</v>
      </c>
      <c r="BF3" s="45" t="s">
        <v>33</v>
      </c>
      <c r="BK3" s="52">
        <v>1</v>
      </c>
      <c r="BL3" s="45" t="s">
        <v>16</v>
      </c>
      <c r="BM3" s="54">
        <f ca="1">SUM(BQ15:BQ26)</f>
        <v>119197.28288196282</v>
      </c>
      <c r="BN3" s="54"/>
      <c r="BP3" s="50">
        <v>0.01</v>
      </c>
      <c r="BQ3" s="50">
        <v>0.02</v>
      </c>
      <c r="BY3" s="45" t="s">
        <v>33</v>
      </c>
      <c r="CD3" s="52">
        <v>1</v>
      </c>
      <c r="CE3" s="45" t="s">
        <v>16</v>
      </c>
      <c r="CF3" s="54">
        <f ca="1">SUM(CJ15:CJ26)</f>
        <v>8629.8195732445965</v>
      </c>
      <c r="CG3" s="54"/>
      <c r="CI3" s="50">
        <v>0.01</v>
      </c>
      <c r="CJ3" s="50">
        <v>0.02</v>
      </c>
      <c r="CR3" s="45" t="s">
        <v>33</v>
      </c>
      <c r="CT3"/>
      <c r="CU3"/>
      <c r="CV3"/>
      <c r="CW3"/>
      <c r="CX3"/>
      <c r="CY3"/>
      <c r="CZ3"/>
      <c r="DA3"/>
      <c r="DB3"/>
      <c r="DC3"/>
      <c r="DD3"/>
      <c r="DE3"/>
      <c r="DF3"/>
      <c r="DG3"/>
      <c r="DH3"/>
      <c r="DI3"/>
      <c r="DJ3"/>
      <c r="DK3"/>
      <c r="DL3"/>
    </row>
    <row r="4" spans="1:116" ht="15.75" customHeight="1" x14ac:dyDescent="0.2">
      <c r="A4" s="45" t="s">
        <v>31</v>
      </c>
      <c r="B4" s="58"/>
      <c r="F4" s="52">
        <v>2</v>
      </c>
      <c r="G4" s="45" t="s">
        <v>17</v>
      </c>
      <c r="H4" s="54">
        <f ca="1">SUM(L15:L38)</f>
        <v>1461212.6313587169</v>
      </c>
      <c r="I4" s="54"/>
      <c r="K4" s="50">
        <v>0.02</v>
      </c>
      <c r="L4" s="50">
        <v>2.5000000000000001E-2</v>
      </c>
      <c r="M4" s="55"/>
      <c r="N4" s="59"/>
      <c r="Q4" s="60"/>
      <c r="Y4" s="52">
        <v>2</v>
      </c>
      <c r="Z4" s="45" t="s">
        <v>17</v>
      </c>
      <c r="AA4" s="54">
        <f ca="1">SUM(AE15:AE38)</f>
        <v>1014598.7109938547</v>
      </c>
      <c r="AB4" s="54"/>
      <c r="AD4" s="50">
        <v>0.02</v>
      </c>
      <c r="AE4" s="50">
        <v>2.5000000000000001E-2</v>
      </c>
      <c r="AR4" s="52">
        <v>2</v>
      </c>
      <c r="AS4" s="45" t="s">
        <v>17</v>
      </c>
      <c r="AT4" s="54">
        <f ca="1">SUM(AX15:AX38)</f>
        <v>587214.51152538636</v>
      </c>
      <c r="AU4" s="54"/>
      <c r="AW4" s="50">
        <v>0.02</v>
      </c>
      <c r="AX4" s="50">
        <v>2.5000000000000001E-2</v>
      </c>
      <c r="BK4" s="52">
        <v>2</v>
      </c>
      <c r="BL4" s="45" t="s">
        <v>17</v>
      </c>
      <c r="BM4" s="54">
        <f ca="1">SUM(BQ15:BQ38)</f>
        <v>226578.42784263566</v>
      </c>
      <c r="BN4" s="54"/>
      <c r="BP4" s="50">
        <v>0.02</v>
      </c>
      <c r="BQ4" s="50">
        <v>2.5000000000000001E-2</v>
      </c>
      <c r="CD4" s="52">
        <v>2</v>
      </c>
      <c r="CE4" s="45" t="s">
        <v>17</v>
      </c>
      <c r="CF4" s="54">
        <f ca="1">SUM(CJ15:CJ38)</f>
        <v>46253.691979892166</v>
      </c>
      <c r="CG4" s="54"/>
      <c r="CI4" s="50">
        <v>0.02</v>
      </c>
      <c r="CJ4" s="50">
        <v>2.5000000000000001E-2</v>
      </c>
      <c r="CT4"/>
      <c r="CU4"/>
      <c r="CV4"/>
      <c r="CW4"/>
      <c r="CX4"/>
      <c r="CY4"/>
      <c r="CZ4"/>
      <c r="DA4"/>
      <c r="DB4"/>
      <c r="DC4"/>
      <c r="DD4"/>
      <c r="DE4"/>
      <c r="DF4"/>
      <c r="DG4"/>
      <c r="DH4"/>
      <c r="DI4"/>
      <c r="DJ4"/>
      <c r="DK4"/>
      <c r="DL4"/>
    </row>
    <row r="5" spans="1:116" ht="15.75" customHeight="1" x14ac:dyDescent="0.2">
      <c r="A5" s="45" t="s">
        <v>30</v>
      </c>
      <c r="F5" s="52">
        <v>3</v>
      </c>
      <c r="G5" s="45" t="s">
        <v>18</v>
      </c>
      <c r="H5" s="54">
        <f ca="1">SUM(L15:L50)</f>
        <v>1969673.0985566922</v>
      </c>
      <c r="I5" s="54"/>
      <c r="K5" s="50">
        <v>2.5000000000000001E-2</v>
      </c>
      <c r="L5" s="50">
        <v>0.03</v>
      </c>
      <c r="M5" s="55"/>
      <c r="N5" s="52"/>
      <c r="Q5" s="52"/>
      <c r="Y5" s="52">
        <v>3</v>
      </c>
      <c r="Z5" s="45" t="s">
        <v>18</v>
      </c>
      <c r="AA5" s="54">
        <f ca="1">SUM(AE15:AE50)</f>
        <v>1359598.1332587341</v>
      </c>
      <c r="AB5" s="54"/>
      <c r="AD5" s="50">
        <v>2.5000000000000001E-2</v>
      </c>
      <c r="AE5" s="50">
        <v>0.03</v>
      </c>
      <c r="AR5" s="52">
        <v>3</v>
      </c>
      <c r="AS5" s="45" t="s">
        <v>18</v>
      </c>
      <c r="AT5" s="54">
        <f ca="1">SUM(AX15:AX50)</f>
        <v>790528.71788322495</v>
      </c>
      <c r="AU5" s="54"/>
      <c r="AW5" s="50">
        <v>2.5000000000000001E-2</v>
      </c>
      <c r="AX5" s="50">
        <v>0.03</v>
      </c>
      <c r="BK5" s="52">
        <v>3</v>
      </c>
      <c r="BL5" s="45" t="s">
        <v>18</v>
      </c>
      <c r="BM5" s="54">
        <f ca="1">SUM(BQ15:BQ50)</f>
        <v>333774.66015691543</v>
      </c>
      <c r="BN5" s="54"/>
      <c r="BP5" s="50">
        <v>2.5000000000000001E-2</v>
      </c>
      <c r="BQ5" s="50">
        <v>0.03</v>
      </c>
      <c r="CD5" s="52">
        <v>3</v>
      </c>
      <c r="CE5" s="45" t="s">
        <v>18</v>
      </c>
      <c r="CF5" s="54">
        <f ca="1">SUM(CJ15:CJ50)</f>
        <v>107722.54388505433</v>
      </c>
      <c r="CG5" s="54"/>
      <c r="CI5" s="50">
        <v>2.5000000000000001E-2</v>
      </c>
      <c r="CJ5" s="50">
        <v>0.03</v>
      </c>
      <c r="CT5"/>
      <c r="CU5"/>
      <c r="CV5"/>
      <c r="CW5"/>
      <c r="CX5"/>
      <c r="CY5"/>
      <c r="CZ5"/>
      <c r="DA5"/>
      <c r="DB5"/>
      <c r="DC5"/>
      <c r="DD5"/>
      <c r="DE5"/>
      <c r="DF5"/>
      <c r="DG5"/>
      <c r="DH5"/>
      <c r="DI5"/>
      <c r="DJ5"/>
      <c r="DK5"/>
      <c r="DL5"/>
    </row>
    <row r="6" spans="1:116" ht="15.75" customHeight="1" x14ac:dyDescent="0.2">
      <c r="A6" s="45" t="s">
        <v>34</v>
      </c>
      <c r="B6" s="61"/>
      <c r="F6" s="52">
        <v>4</v>
      </c>
      <c r="G6" s="45" t="s">
        <v>19</v>
      </c>
      <c r="H6" s="54">
        <f ca="1">SUM(L15:L62)</f>
        <v>2422147.2985859117</v>
      </c>
      <c r="I6" s="54"/>
      <c r="K6" s="50">
        <v>0.03</v>
      </c>
      <c r="L6" s="50">
        <v>3.5000000000000003E-2</v>
      </c>
      <c r="M6" s="55"/>
      <c r="N6" s="52"/>
      <c r="Q6" s="62"/>
      <c r="Y6" s="52">
        <v>4</v>
      </c>
      <c r="Z6" s="45" t="s">
        <v>19</v>
      </c>
      <c r="AA6" s="54">
        <f ca="1">SUM(AE15:AE62)</f>
        <v>1663043.9000129655</v>
      </c>
      <c r="AB6" s="54"/>
      <c r="AD6" s="50">
        <v>0.03</v>
      </c>
      <c r="AE6" s="50">
        <v>3.5000000000000003E-2</v>
      </c>
      <c r="AR6" s="52">
        <v>4</v>
      </c>
      <c r="AS6" s="45" t="s">
        <v>19</v>
      </c>
      <c r="AT6" s="54">
        <f ca="1">SUM(AX15:AX62)</f>
        <v>983001.54723653907</v>
      </c>
      <c r="AU6" s="54"/>
      <c r="AW6" s="50">
        <v>0.03</v>
      </c>
      <c r="AX6" s="50">
        <v>3.5000000000000003E-2</v>
      </c>
      <c r="BK6" s="52">
        <v>4</v>
      </c>
      <c r="BL6" s="45" t="s">
        <v>19</v>
      </c>
      <c r="BM6" s="54">
        <f ca="1">SUM(BQ15:BQ62)</f>
        <v>453050.62650119874</v>
      </c>
      <c r="BN6" s="54"/>
      <c r="BP6" s="50">
        <v>0.03</v>
      </c>
      <c r="BQ6" s="50">
        <v>3.5000000000000003E-2</v>
      </c>
      <c r="CD6" s="52">
        <v>4</v>
      </c>
      <c r="CE6" s="45" t="s">
        <v>19</v>
      </c>
      <c r="CF6" s="54">
        <f ca="1">SUM(CJ15:CJ62)</f>
        <v>182496.60676368716</v>
      </c>
      <c r="CG6" s="54"/>
      <c r="CI6" s="50">
        <v>0.03</v>
      </c>
      <c r="CJ6" s="50">
        <v>3.5000000000000003E-2</v>
      </c>
      <c r="CT6"/>
      <c r="CU6"/>
      <c r="CV6"/>
      <c r="CW6"/>
      <c r="CX6"/>
      <c r="CY6"/>
      <c r="CZ6"/>
      <c r="DA6"/>
      <c r="DB6"/>
      <c r="DC6"/>
      <c r="DD6"/>
      <c r="DE6"/>
      <c r="DF6"/>
      <c r="DG6"/>
      <c r="DH6"/>
      <c r="DI6"/>
      <c r="DJ6"/>
      <c r="DK6"/>
      <c r="DL6"/>
    </row>
    <row r="7" spans="1:116" ht="15.75" customHeight="1" x14ac:dyDescent="0.2">
      <c r="F7" s="52">
        <v>5</v>
      </c>
      <c r="G7" s="45" t="s">
        <v>20</v>
      </c>
      <c r="H7" s="54">
        <f ca="1">SUM(L15:L74)</f>
        <v>2873401.1133867675</v>
      </c>
      <c r="I7" s="54"/>
      <c r="K7" s="50">
        <v>3.5000000000000003E-2</v>
      </c>
      <c r="L7" s="50">
        <v>0.04</v>
      </c>
      <c r="M7" s="55"/>
      <c r="N7" s="52"/>
      <c r="Q7" s="52"/>
      <c r="R7" s="63"/>
      <c r="Y7" s="52">
        <v>5</v>
      </c>
      <c r="Z7" s="45" t="s">
        <v>20</v>
      </c>
      <c r="AA7" s="54">
        <f ca="1">SUM(AE15:AE74)</f>
        <v>1971796.6663719928</v>
      </c>
      <c r="AB7" s="54"/>
      <c r="AD7" s="50">
        <v>3.5000000000000003E-2</v>
      </c>
      <c r="AE7" s="50">
        <v>0.04</v>
      </c>
      <c r="AR7" s="52">
        <v>5</v>
      </c>
      <c r="AS7" s="45" t="s">
        <v>20</v>
      </c>
      <c r="AT7" s="54">
        <f ca="1">SUM(AX15:AX74)</f>
        <v>1185495.4079647558</v>
      </c>
      <c r="AU7" s="54"/>
      <c r="AW7" s="50">
        <v>3.5000000000000003E-2</v>
      </c>
      <c r="AX7" s="50">
        <v>0.04</v>
      </c>
      <c r="BK7" s="52">
        <v>5</v>
      </c>
      <c r="BL7" s="45" t="s">
        <v>20</v>
      </c>
      <c r="BM7" s="54">
        <f ca="1">SUM(BQ15:BQ74)</f>
        <v>585022.42573913385</v>
      </c>
      <c r="BN7" s="54"/>
      <c r="BP7" s="50">
        <v>3.5000000000000003E-2</v>
      </c>
      <c r="BQ7" s="50">
        <v>0.04</v>
      </c>
      <c r="CD7" s="52">
        <v>5</v>
      </c>
      <c r="CE7" s="45" t="s">
        <v>20</v>
      </c>
      <c r="CF7" s="54">
        <f ca="1">SUM(CJ15:CJ74)</f>
        <v>270733.03095604794</v>
      </c>
      <c r="CG7" s="54"/>
      <c r="CI7" s="50">
        <v>3.5000000000000003E-2</v>
      </c>
      <c r="CJ7" s="50">
        <v>0.04</v>
      </c>
      <c r="CT7"/>
      <c r="CU7"/>
      <c r="CV7"/>
      <c r="CW7"/>
      <c r="CX7"/>
      <c r="CY7"/>
      <c r="CZ7"/>
      <c r="DA7"/>
      <c r="DB7"/>
      <c r="DC7"/>
      <c r="DD7"/>
      <c r="DE7"/>
      <c r="DF7"/>
      <c r="DG7"/>
      <c r="DH7"/>
      <c r="DI7"/>
      <c r="DJ7"/>
      <c r="DK7"/>
      <c r="DL7"/>
    </row>
    <row r="8" spans="1:116" ht="15.75" customHeight="1" x14ac:dyDescent="0.2">
      <c r="A8" s="45" t="s">
        <v>1</v>
      </c>
      <c r="B8" s="61">
        <f>'Cap Pricer'!E23</f>
        <v>0.02</v>
      </c>
      <c r="F8" s="52">
        <v>6</v>
      </c>
      <c r="G8" s="45" t="s">
        <v>39</v>
      </c>
      <c r="H8" s="54">
        <f ca="1">SUM(L15:L86)</f>
        <v>3315819.6209549117</v>
      </c>
      <c r="I8" s="54"/>
      <c r="K8" s="50">
        <v>0.04</v>
      </c>
      <c r="L8" s="50">
        <v>4.4999999999999998E-2</v>
      </c>
      <c r="M8" s="55"/>
      <c r="N8" s="52"/>
      <c r="Q8" s="52"/>
      <c r="R8" s="64"/>
      <c r="Y8" s="52">
        <v>6</v>
      </c>
      <c r="Z8" s="45" t="s">
        <v>39</v>
      </c>
      <c r="AA8" s="54">
        <f ca="1">SUM(AE15:AE86)</f>
        <v>2279816.3268971541</v>
      </c>
      <c r="AB8" s="54"/>
      <c r="AD8" s="50">
        <v>0.04</v>
      </c>
      <c r="AE8" s="50">
        <v>4.4999999999999998E-2</v>
      </c>
      <c r="AR8" s="52">
        <v>6</v>
      </c>
      <c r="AS8" s="45" t="s">
        <v>39</v>
      </c>
      <c r="AT8" s="54">
        <f ca="1">SUM(AX15:AX86)</f>
        <v>1392456.3312132643</v>
      </c>
      <c r="AU8" s="54"/>
      <c r="AW8" s="50">
        <v>0.04</v>
      </c>
      <c r="AX8" s="50">
        <v>4.4999999999999998E-2</v>
      </c>
      <c r="BK8" s="52">
        <v>6</v>
      </c>
      <c r="BL8" s="45" t="s">
        <v>39</v>
      </c>
      <c r="BM8" s="54">
        <f ca="1">SUM(BQ15:BQ86)</f>
        <v>723174.03975779796</v>
      </c>
      <c r="BN8" s="54"/>
      <c r="BP8" s="50">
        <v>0.04</v>
      </c>
      <c r="BQ8" s="50">
        <v>4.4999999999999998E-2</v>
      </c>
      <c r="CD8" s="52">
        <v>6</v>
      </c>
      <c r="CE8" s="45" t="s">
        <v>39</v>
      </c>
      <c r="CF8" s="54">
        <f ca="1">SUM(CJ15:CJ86)</f>
        <v>364719.72107619036</v>
      </c>
      <c r="CG8" s="54"/>
      <c r="CI8" s="50">
        <v>0.04</v>
      </c>
      <c r="CJ8" s="50">
        <v>4.4999999999999998E-2</v>
      </c>
      <c r="CT8"/>
      <c r="CU8"/>
      <c r="CV8"/>
      <c r="CW8"/>
      <c r="CX8"/>
      <c r="CY8"/>
      <c r="CZ8"/>
      <c r="DA8"/>
      <c r="DB8"/>
      <c r="DC8"/>
      <c r="DD8"/>
      <c r="DE8"/>
      <c r="DF8"/>
      <c r="DG8"/>
      <c r="DH8"/>
      <c r="DI8"/>
      <c r="DJ8"/>
      <c r="DK8"/>
      <c r="DL8"/>
    </row>
    <row r="9" spans="1:116" ht="15.75" customHeight="1" x14ac:dyDescent="0.2">
      <c r="A9" s="45" t="s">
        <v>2</v>
      </c>
      <c r="B9" s="65" t="s">
        <v>3</v>
      </c>
      <c r="F9" s="52">
        <v>7</v>
      </c>
      <c r="G9" s="45" t="s">
        <v>40</v>
      </c>
      <c r="H9" s="54">
        <f ca="1">SUM(L15:L98)</f>
        <v>3744168.741722241</v>
      </c>
      <c r="I9" s="54"/>
      <c r="K9" s="50">
        <v>4.4999999999999998E-2</v>
      </c>
      <c r="L9" s="50">
        <v>0.05</v>
      </c>
      <c r="N9" s="52"/>
      <c r="Q9" s="52"/>
      <c r="R9" s="66"/>
      <c r="Y9" s="52">
        <v>7</v>
      </c>
      <c r="Z9" s="45" t="s">
        <v>40</v>
      </c>
      <c r="AA9" s="54">
        <f ca="1">SUM(AE15:AE98)</f>
        <v>2580427.5921995863</v>
      </c>
      <c r="AB9" s="54"/>
      <c r="AD9" s="50">
        <v>4.4999999999999998E-2</v>
      </c>
      <c r="AE9" s="50">
        <v>0.05</v>
      </c>
      <c r="AH9" s="45" t="s">
        <v>22</v>
      </c>
      <c r="AI9" s="67"/>
      <c r="AJ9" s="67"/>
      <c r="AK9" s="54"/>
      <c r="AR9" s="52">
        <v>7</v>
      </c>
      <c r="AS9" s="45" t="s">
        <v>40</v>
      </c>
      <c r="AT9" s="54">
        <f ca="1">SUM(AX15:AX98)</f>
        <v>1596811.2231230841</v>
      </c>
      <c r="AU9" s="54"/>
      <c r="AW9" s="50">
        <v>4.4999999999999998E-2</v>
      </c>
      <c r="AX9" s="50">
        <v>0.05</v>
      </c>
      <c r="BA9" s="45" t="s">
        <v>22</v>
      </c>
      <c r="BB9" s="67"/>
      <c r="BC9" s="67"/>
      <c r="BD9" s="54"/>
      <c r="BK9" s="52">
        <v>7</v>
      </c>
      <c r="BL9" s="45" t="s">
        <v>40</v>
      </c>
      <c r="BM9" s="54">
        <f ca="1">SUM(BQ15:BQ98)</f>
        <v>861168.9997306969</v>
      </c>
      <c r="BN9" s="54"/>
      <c r="BP9" s="50">
        <v>4.4999999999999998E-2</v>
      </c>
      <c r="BQ9" s="50">
        <v>0.05</v>
      </c>
      <c r="BT9" s="45" t="s">
        <v>22</v>
      </c>
      <c r="BU9" s="67"/>
      <c r="BV9" s="67"/>
      <c r="BW9" s="54"/>
      <c r="CD9" s="52">
        <v>7</v>
      </c>
      <c r="CE9" s="45" t="s">
        <v>40</v>
      </c>
      <c r="CF9" s="54">
        <f ca="1">SUM(CJ15:CJ98)</f>
        <v>459312.72743520426</v>
      </c>
      <c r="CG9" s="54"/>
      <c r="CI9" s="50">
        <v>4.4999999999999998E-2</v>
      </c>
      <c r="CJ9" s="50">
        <v>0.05</v>
      </c>
      <c r="CM9" s="45" t="s">
        <v>22</v>
      </c>
      <c r="CN9" s="67"/>
      <c r="CO9" s="67"/>
      <c r="CP9" s="54"/>
      <c r="CT9"/>
      <c r="CU9"/>
      <c r="CV9"/>
      <c r="CW9"/>
      <c r="CX9"/>
      <c r="CY9"/>
      <c r="CZ9"/>
      <c r="DA9"/>
      <c r="DB9"/>
      <c r="DC9"/>
      <c r="DD9"/>
      <c r="DE9"/>
      <c r="DF9"/>
      <c r="DG9"/>
      <c r="DH9"/>
      <c r="DI9"/>
      <c r="DJ9"/>
      <c r="DK9"/>
      <c r="DL9"/>
    </row>
    <row r="10" spans="1:116" ht="15.75" customHeight="1" x14ac:dyDescent="0.2">
      <c r="A10" s="45" t="s">
        <v>4</v>
      </c>
      <c r="B10" s="61">
        <v>2.5000000000000001E-3</v>
      </c>
      <c r="K10" s="50">
        <v>0.05</v>
      </c>
      <c r="L10" s="50">
        <v>5.5E-2</v>
      </c>
      <c r="Q10" s="63"/>
      <c r="R10" s="52"/>
      <c r="AD10" s="50">
        <v>0.05</v>
      </c>
      <c r="AE10" s="50">
        <v>5.5E-2</v>
      </c>
      <c r="AW10" s="50">
        <v>0.05</v>
      </c>
      <c r="AX10" s="50">
        <v>5.5E-2</v>
      </c>
      <c r="BP10" s="50">
        <v>0.05</v>
      </c>
      <c r="BQ10" s="50">
        <v>5.5E-2</v>
      </c>
      <c r="CI10" s="50">
        <v>0.05</v>
      </c>
      <c r="CJ10" s="50">
        <v>5.5E-2</v>
      </c>
      <c r="CT10"/>
      <c r="CU10"/>
      <c r="CV10"/>
      <c r="CW10"/>
      <c r="CX10"/>
      <c r="CY10"/>
      <c r="CZ10"/>
      <c r="DA10"/>
      <c r="DB10"/>
      <c r="DC10"/>
      <c r="DD10"/>
      <c r="DE10"/>
      <c r="DF10"/>
      <c r="DG10"/>
      <c r="DH10"/>
      <c r="DI10"/>
      <c r="DJ10"/>
      <c r="DK10"/>
      <c r="DL10"/>
    </row>
    <row r="11" spans="1:116" ht="15.75" customHeight="1" x14ac:dyDescent="0.2">
      <c r="B11" s="61"/>
      <c r="H11" s="54"/>
      <c r="I11" s="54"/>
      <c r="K11" s="50">
        <v>5.5E-2</v>
      </c>
      <c r="L11" s="50">
        <v>0.06</v>
      </c>
      <c r="N11" s="52"/>
      <c r="R11" s="52"/>
      <c r="T11" s="61"/>
      <c r="U11" s="61"/>
      <c r="AA11" s="54"/>
      <c r="AB11" s="54"/>
      <c r="AD11" s="50">
        <v>5.5E-2</v>
      </c>
      <c r="AE11" s="50">
        <v>0.06</v>
      </c>
      <c r="AM11" s="61"/>
      <c r="AT11" s="54"/>
      <c r="AU11" s="54"/>
      <c r="AW11" s="50">
        <v>5.5E-2</v>
      </c>
      <c r="AX11" s="50">
        <v>0.06</v>
      </c>
      <c r="BF11" s="61"/>
      <c r="BM11" s="54"/>
      <c r="BN11" s="54"/>
      <c r="BP11" s="50">
        <v>5.5E-2</v>
      </c>
      <c r="BQ11" s="50">
        <v>0.06</v>
      </c>
      <c r="BY11" s="61"/>
      <c r="CF11" s="54"/>
      <c r="CG11" s="54"/>
      <c r="CI11" s="50">
        <v>5.5E-2</v>
      </c>
      <c r="CJ11" s="50">
        <v>0.06</v>
      </c>
      <c r="CR11" s="61"/>
      <c r="CT11"/>
      <c r="CU11"/>
      <c r="CV11"/>
      <c r="CW11"/>
      <c r="CX11"/>
      <c r="CY11"/>
      <c r="CZ11"/>
      <c r="DA11"/>
      <c r="DB11"/>
      <c r="DC11"/>
      <c r="DD11"/>
      <c r="DE11"/>
      <c r="DF11"/>
      <c r="DG11"/>
      <c r="DH11"/>
      <c r="DI11"/>
      <c r="DJ11"/>
      <c r="DK11"/>
      <c r="DL11"/>
    </row>
    <row r="12" spans="1:116" ht="15.75" customHeight="1" x14ac:dyDescent="0.2">
      <c r="R12" s="52"/>
      <c r="CT12"/>
      <c r="CU12"/>
      <c r="CV12"/>
      <c r="CW12"/>
      <c r="CX12"/>
      <c r="CY12"/>
      <c r="CZ12"/>
      <c r="DA12"/>
      <c r="DB12"/>
      <c r="DC12"/>
      <c r="DD12"/>
      <c r="DE12"/>
      <c r="DF12"/>
      <c r="DG12"/>
      <c r="DH12"/>
      <c r="DI12"/>
      <c r="DJ12"/>
      <c r="DK12"/>
      <c r="DL12"/>
    </row>
    <row r="13" spans="1:116" ht="15.75" customHeight="1" x14ac:dyDescent="0.2">
      <c r="C13" s="45" t="s">
        <v>56</v>
      </c>
      <c r="L13" s="52"/>
      <c r="V13" s="61">
        <f>'Cap Pricer'!G19</f>
        <v>0.03</v>
      </c>
      <c r="AO13" s="61">
        <f>'Cap Pricer'!G20</f>
        <v>0.04</v>
      </c>
      <c r="BH13" s="61">
        <f>'Cap Pricer'!G21</f>
        <v>0.05</v>
      </c>
      <c r="CA13" s="61">
        <f>'Cap Pricer'!G22</f>
        <v>0.06</v>
      </c>
      <c r="CT13"/>
      <c r="CU13"/>
      <c r="CV13"/>
      <c r="CW13"/>
      <c r="CX13"/>
      <c r="CY13"/>
      <c r="CZ13"/>
      <c r="DA13"/>
      <c r="DB13"/>
      <c r="DC13"/>
      <c r="DD13"/>
      <c r="DE13"/>
      <c r="DF13"/>
      <c r="DG13"/>
      <c r="DH13"/>
      <c r="DI13"/>
      <c r="DJ13"/>
      <c r="DK13"/>
      <c r="DL13"/>
    </row>
    <row r="14" spans="1:116" ht="15.75" customHeight="1" x14ac:dyDescent="0.2">
      <c r="C14" s="68" t="s">
        <v>5</v>
      </c>
      <c r="D14" s="68" t="s">
        <v>6</v>
      </c>
      <c r="E14" s="68" t="s">
        <v>7</v>
      </c>
      <c r="F14" s="68" t="s">
        <v>8</v>
      </c>
      <c r="G14" s="68" t="s">
        <v>13</v>
      </c>
      <c r="H14" s="68" t="s">
        <v>9</v>
      </c>
      <c r="I14" s="68" t="s">
        <v>47</v>
      </c>
      <c r="J14" s="68" t="s">
        <v>10</v>
      </c>
      <c r="K14" s="68" t="s">
        <v>11</v>
      </c>
      <c r="L14" s="68" t="s">
        <v>12</v>
      </c>
      <c r="M14" s="69" t="s">
        <v>14</v>
      </c>
      <c r="N14" s="68" t="s">
        <v>25</v>
      </c>
      <c r="O14" s="68" t="s">
        <v>36</v>
      </c>
      <c r="Q14" s="68" t="s">
        <v>26</v>
      </c>
      <c r="R14" s="68" t="s">
        <v>27</v>
      </c>
      <c r="T14" s="68" t="s">
        <v>42</v>
      </c>
      <c r="V14" s="68" t="s">
        <v>5</v>
      </c>
      <c r="W14" s="68" t="s">
        <v>6</v>
      </c>
      <c r="X14" s="68" t="s">
        <v>7</v>
      </c>
      <c r="Y14" s="68" t="s">
        <v>8</v>
      </c>
      <c r="Z14" s="68" t="s">
        <v>13</v>
      </c>
      <c r="AA14" s="68" t="s">
        <v>9</v>
      </c>
      <c r="AB14" s="68" t="s">
        <v>47</v>
      </c>
      <c r="AC14" s="68" t="s">
        <v>10</v>
      </c>
      <c r="AD14" s="68" t="s">
        <v>11</v>
      </c>
      <c r="AE14" s="68" t="s">
        <v>12</v>
      </c>
      <c r="AF14" s="69" t="s">
        <v>14</v>
      </c>
      <c r="AG14" s="68" t="s">
        <v>25</v>
      </c>
      <c r="AH14" s="68" t="s">
        <v>36</v>
      </c>
      <c r="AJ14" s="68" t="s">
        <v>26</v>
      </c>
      <c r="AK14" s="68" t="s">
        <v>27</v>
      </c>
      <c r="AM14" s="68" t="s">
        <v>42</v>
      </c>
      <c r="AO14" s="68" t="s">
        <v>5</v>
      </c>
      <c r="AP14" s="68" t="s">
        <v>6</v>
      </c>
      <c r="AQ14" s="68" t="s">
        <v>7</v>
      </c>
      <c r="AR14" s="68" t="s">
        <v>8</v>
      </c>
      <c r="AS14" s="68" t="s">
        <v>13</v>
      </c>
      <c r="AT14" s="68" t="s">
        <v>9</v>
      </c>
      <c r="AU14" s="68" t="s">
        <v>47</v>
      </c>
      <c r="AV14" s="68" t="s">
        <v>10</v>
      </c>
      <c r="AW14" s="68" t="s">
        <v>11</v>
      </c>
      <c r="AX14" s="68" t="s">
        <v>12</v>
      </c>
      <c r="AY14" s="69" t="s">
        <v>14</v>
      </c>
      <c r="AZ14" s="68" t="s">
        <v>25</v>
      </c>
      <c r="BA14" s="68" t="s">
        <v>36</v>
      </c>
      <c r="BC14" s="68" t="s">
        <v>26</v>
      </c>
      <c r="BD14" s="68" t="s">
        <v>27</v>
      </c>
      <c r="BF14" s="68" t="s">
        <v>42</v>
      </c>
      <c r="BH14" s="68" t="s">
        <v>5</v>
      </c>
      <c r="BI14" s="68" t="s">
        <v>6</v>
      </c>
      <c r="BJ14" s="68" t="s">
        <v>7</v>
      </c>
      <c r="BK14" s="68" t="s">
        <v>8</v>
      </c>
      <c r="BL14" s="68" t="s">
        <v>13</v>
      </c>
      <c r="BM14" s="68" t="s">
        <v>9</v>
      </c>
      <c r="BN14" s="68" t="s">
        <v>47</v>
      </c>
      <c r="BO14" s="68" t="s">
        <v>10</v>
      </c>
      <c r="BP14" s="68" t="s">
        <v>11</v>
      </c>
      <c r="BQ14" s="68" t="s">
        <v>12</v>
      </c>
      <c r="BR14" s="69" t="s">
        <v>14</v>
      </c>
      <c r="BS14" s="68" t="s">
        <v>25</v>
      </c>
      <c r="BT14" s="68" t="s">
        <v>36</v>
      </c>
      <c r="BV14" s="68" t="s">
        <v>26</v>
      </c>
      <c r="BW14" s="68" t="s">
        <v>27</v>
      </c>
      <c r="BY14" s="68" t="s">
        <v>42</v>
      </c>
      <c r="CA14" s="68" t="s">
        <v>5</v>
      </c>
      <c r="CB14" s="68" t="s">
        <v>6</v>
      </c>
      <c r="CC14" s="68" t="s">
        <v>7</v>
      </c>
      <c r="CD14" s="68" t="s">
        <v>8</v>
      </c>
      <c r="CE14" s="68" t="s">
        <v>13</v>
      </c>
      <c r="CF14" s="68" t="s">
        <v>9</v>
      </c>
      <c r="CG14" s="68" t="s">
        <v>47</v>
      </c>
      <c r="CH14" s="68" t="s">
        <v>10</v>
      </c>
      <c r="CI14" s="68" t="s">
        <v>11</v>
      </c>
      <c r="CJ14" s="68" t="s">
        <v>12</v>
      </c>
      <c r="CK14" s="69" t="s">
        <v>14</v>
      </c>
      <c r="CL14" s="68" t="s">
        <v>25</v>
      </c>
      <c r="CM14" s="68" t="s">
        <v>36</v>
      </c>
      <c r="CO14" s="68" t="s">
        <v>26</v>
      </c>
      <c r="CP14" s="68" t="s">
        <v>27</v>
      </c>
      <c r="CR14" s="68" t="s">
        <v>42</v>
      </c>
      <c r="CT14"/>
      <c r="CU14"/>
      <c r="CV14"/>
      <c r="CW14"/>
      <c r="CX14"/>
      <c r="CY14"/>
      <c r="CZ14"/>
      <c r="DA14"/>
      <c r="DB14"/>
      <c r="DC14"/>
      <c r="DD14"/>
      <c r="DE14"/>
      <c r="DF14"/>
      <c r="DG14"/>
      <c r="DH14"/>
      <c r="DI14"/>
      <c r="DJ14"/>
      <c r="DK14"/>
      <c r="DL14"/>
    </row>
    <row r="15" spans="1:116" ht="15.75" customHeight="1" x14ac:dyDescent="0.2">
      <c r="B15" s="52">
        <v>1</v>
      </c>
      <c r="C15" s="52">
        <v>1</v>
      </c>
      <c r="D15" s="70">
        <f ca="1">DATE(YEAR(TODAY()),MONTH(TODAY()),MIN(28,DAY(TODAY())))</f>
        <v>45191</v>
      </c>
      <c r="E15" s="71">
        <f t="shared" ref="E15:E50" ca="1" si="0">EDATE(D15,1)</f>
        <v>45221</v>
      </c>
      <c r="F15" s="72">
        <f t="shared" ref="F15:F50" ca="1" si="1">E15-D15</f>
        <v>30</v>
      </c>
      <c r="G15" s="73">
        <f ca="1">SUM($F$15:F15)/360</f>
        <v>8.3333333333333329E-2</v>
      </c>
      <c r="H15" s="74">
        <f t="shared" ref="H15:H78" si="2">$B$2</f>
        <v>25000000</v>
      </c>
      <c r="I15" s="59">
        <f>IF('Cap Pricer'!$E$22=DataValidation!$C$2,'Cap Pricer'!$E$23,IF('Cap Pricer'!$E$22=DataValidation!$C$3,VLOOKUP($B15,'Cap Pricer'!$C$25:$E$31,3),""))</f>
        <v>0.02</v>
      </c>
      <c r="J15" s="57">
        <f>Volatilities_Resets!$E4*0.01</f>
        <v>5.3175100000000003E-2</v>
      </c>
      <c r="K15" s="61">
        <f>IF(I15=L$11,Volatilities_Resets!$AA4,IF(I15&gt;=K$11,IF(I15&lt;L$11,(((Volatilities_Resets!$AA4-Volatilities_Resets!$Y4)/50)*((Calculator!I15-Calculator!K$11)*10000)+Volatilities_Resets!$Y4)),IF(I15&gt;=K$10,IF(I15&lt;L$10,(((Volatilities_Resets!$Y4-Volatilities_Resets!$W4)/50)*((Calculator!I15-Calculator!K$10)*10000)+Volatilities_Resets!$W4)),IF(I15&gt;=K$9,IF(I15&lt;L$9,(((Volatilities_Resets!$W4-Volatilities_Resets!$U4)/50)*((Calculator!I15-Calculator!K$9)*10000)+Volatilities_Resets!$U4)),IF(I15&gt;=K$8,IF(I15&lt;L$8,(((Volatilities_Resets!$U4-Volatilities_Resets!$S4)/50)*((Calculator!I15-Calculator!K$8)*10000)+Volatilities_Resets!$S4)),IF(I15&gt;=K$7,IF(I15&lt;L$7,(((Volatilities_Resets!$S4-Volatilities_Resets!$Q4)/50)*((Calculator!I15-Calculator!K$7)*10000)+Volatilities_Resets!$Q4)),IF(I15&gt;=K$6,IF(I15&lt;L$6,(((Volatilities_Resets!$Q4-Volatilities_Resets!$O4)/50)*((Calculator!I15-Calculator!K$6)*10000)+Volatilities_Resets!$O4)),IF(I15&gt;=K$5,IF(I15&lt;L$5,(((Volatilities_Resets!$O4-Volatilities_Resets!$M4)/50)*((Calculator!I15-Calculator!K$5)*10000)+Volatilities_Resets!$M4)),IF(I15&gt;=K$4,IF(I15&lt;L$4,(((Volatilities_Resets!$M4-Volatilities_Resets!$K4)/50)*((Calculator!I15-Calculator!K$4)*10000)+Volatilities_Resets!$K4)),IF(I15&gt;=K$3,IF(I15&lt;L$3,(((Volatilities_Resets!$K4-Volatilities_Resets!$I4)/50)*((Calculator!I15-Calculator!K$3)*10000)+Volatilities_Resets!$I4)),IF(I15&gt;=K$2,IF(I15&lt;L$2,(((Volatilities_Resets!$I4-Volatilities_Resets!$G4)/50)*((Calculator!I15-Calculator!K$2)*10000)+Volatilities_Resets!$G4)),"Well, something broke...")))))))))))/10000</f>
        <v>2.1943000000000001E-2</v>
      </c>
      <c r="L15" s="47">
        <f ca="1">(((J15-I15)*(NORMDIST((J15-I15)/(K15*SQRT(G15)),0,1,TRUE)))+((K15*SQRT(G15))*(NORMDIST((J15-I15)/(K15*SQRT(G15)),0,1,FALSE))))*T15*(F15/360)*H15</f>
        <v>68809.203931356227</v>
      </c>
      <c r="M15" s="63">
        <f ca="1">(((J15-I15)*(NORMDIST((J15-I15)/((K15+0.0001)*SQRT(G15)),0,1,TRUE)))+((K15+0.0001)*SQRT(G15))*(NORMDIST((J15-I15)/((K15+0.0001)*SQRT(G15)),0,1,FALSE)))*T15*(F15/360)</f>
        <v>2.7523681583797102E-3</v>
      </c>
      <c r="N15" s="63">
        <f ca="1">L15</f>
        <v>68809.203931356227</v>
      </c>
      <c r="Q15" s="63">
        <f ca="1">((M15-(L15/H15))*H15)*T15</f>
        <v>2.8012127329853847E-5</v>
      </c>
      <c r="R15" s="63">
        <f ca="1">SUM($Q$15:Q15)</f>
        <v>2.8012127329853847E-5</v>
      </c>
      <c r="T15" s="52">
        <f ca="1">EXP(-AVERAGE(J$15:J15)*G15)</f>
        <v>0.99557854520585776</v>
      </c>
      <c r="U15" s="57"/>
      <c r="V15" s="52">
        <v>1</v>
      </c>
      <c r="W15" s="70">
        <f ca="1">D15</f>
        <v>45191</v>
      </c>
      <c r="X15" s="71">
        <f t="shared" ref="X15:X78" ca="1" si="3">EDATE(W15,1)</f>
        <v>45221</v>
      </c>
      <c r="Y15" s="72">
        <f t="shared" ref="Y15:Y78" ca="1" si="4">X15-W15</f>
        <v>30</v>
      </c>
      <c r="Z15" s="73">
        <f ca="1">SUM(Y$15:Y15)/360</f>
        <v>8.3333333333333329E-2</v>
      </c>
      <c r="AA15" s="74">
        <f>$B$2</f>
        <v>25000000</v>
      </c>
      <c r="AB15" s="59">
        <f>V$13</f>
        <v>0.03</v>
      </c>
      <c r="AC15" s="57">
        <f>Volatilities_Resets!$E4*0.01</f>
        <v>5.3175100000000003E-2</v>
      </c>
      <c r="AD15" s="61">
        <f>IF(AB15=AE$11,Volatilities_Resets!$AA4,IF(AB15&gt;=AD$11,IF(AB15&lt;AE$11,(((Volatilities_Resets!$AA4-Volatilities_Resets!$Y4)/50)*((Calculator!AB15-Calculator!AD$11)*10000)+Volatilities_Resets!$Y4)),IF(AB15&gt;=AD$10,IF(AB15&lt;AE$10,(((Volatilities_Resets!$Y4-Volatilities_Resets!$W4)/50)*((Calculator!AB15-Calculator!AD$10)*10000)+Volatilities_Resets!$W4)),IF(AB15&gt;=AD$9,IF(AB15&lt;AE$9,(((Volatilities_Resets!$W4-Volatilities_Resets!$U4)/50)*((Calculator!AB15-Calculator!AD$9)*10000)+Volatilities_Resets!$U4)),IF(AB15&gt;=AD$8,IF(AB15&lt;AE$8,(((Volatilities_Resets!$U4-Volatilities_Resets!$S4)/50)*((Calculator!AB15-Calculator!AD$8)*10000)+Volatilities_Resets!$S4)),IF(AB15&gt;=AD$7,IF(AB15&lt;AE$7,(((Volatilities_Resets!$S4-Volatilities_Resets!$Q4)/50)*((Calculator!AB15-Calculator!AD$7)*10000)+Volatilities_Resets!$Q4)),IF(AB15&gt;=AD$6,IF(AB15&lt;AE$6,(((Volatilities_Resets!$Q4-Volatilities_Resets!$O4)/50)*((Calculator!AB15-Calculator!AD$6)*10000)+Volatilities_Resets!$O4)),IF(AB15&gt;=AD$5,IF(AB15&lt;AE$5,(((Volatilities_Resets!$O4-Volatilities_Resets!$M4)/50)*((Calculator!AB15-Calculator!AD$5)*10000)+Volatilities_Resets!$M4)),IF(AB15&gt;=AD$4,IF(AB15&lt;AE$4,(((Volatilities_Resets!$M4-Volatilities_Resets!$K4)/50)*((Calculator!AB15-Calculator!AD$4)*10000)+Volatilities_Resets!$K4)),IF(AB15&gt;=AD$3,IF(AB15&lt;AE$3,(((Volatilities_Resets!$K4-Volatilities_Resets!$I4)/50)*((Calculator!AB15-Calculator!AD$3)*10000)+Volatilities_Resets!$I4)),IF(AB15&gt;=AD$2,IF(AB15&lt;AE$2,(((Volatilities_Resets!$I4-Volatilities_Resets!$G4)/50)*((Calculator!AB15-Calculator!AD$2)*10000)+Volatilities_Resets!$G4)),"Well, something broke...")))))))))))/10000</f>
        <v>1.8133E-2</v>
      </c>
      <c r="AE15" s="47">
        <f ca="1">(((AC15-AB15)*(NORMDIST((AC15-AB15)/(AD15*SQRT(Z15)),0,1,TRUE)))+((AD15*SQRT(Z15))*(NORMDIST((AC15-AB15)/(AD15*SQRT(Z15)),0,1,FALSE))))*AM15*(Y15/360)*AA15</f>
        <v>48067.994777674423</v>
      </c>
      <c r="AF15" s="63">
        <f ca="1">(((AC15-AB15)*(NORMDIST((AC15-AB15)/((AD15+0.0001)*SQRT(Z15)),0,1,TRUE)))+((AD15+0.0001)*SQRT(Z15))*(NORMDIST((AC15-AB15)/((AD15+0.0001)*SQRT(Z15)),0,1,FALSE)))*AM15*(Y15/360)</f>
        <v>1.9227198470048187E-3</v>
      </c>
      <c r="AG15" s="63">
        <f ca="1">AE15</f>
        <v>48067.994777674423</v>
      </c>
      <c r="AJ15" s="63">
        <f ca="1">((AF15-(AE15/AA15))*AA15)*AM15</f>
        <v>1.3912673032409086E-3</v>
      </c>
      <c r="AK15" s="63">
        <f ca="1">SUM($AJ$15:AJ15)</f>
        <v>1.3912673032409086E-3</v>
      </c>
      <c r="AM15" s="52">
        <f ca="1">EXP(-AVERAGE(AC$15:AC15)*Z15)</f>
        <v>0.99557854520585776</v>
      </c>
      <c r="AO15" s="52">
        <v>1</v>
      </c>
      <c r="AP15" s="70">
        <f ca="1">D15</f>
        <v>45191</v>
      </c>
      <c r="AQ15" s="71">
        <f t="shared" ref="AQ15:AQ78" ca="1" si="5">EDATE(AP15,1)</f>
        <v>45221</v>
      </c>
      <c r="AR15" s="72">
        <f t="shared" ref="AR15:AR78" ca="1" si="6">AQ15-AP15</f>
        <v>30</v>
      </c>
      <c r="AS15" s="73">
        <f ca="1">SUM(AR$15:AR15)/360</f>
        <v>8.3333333333333329E-2</v>
      </c>
      <c r="AT15" s="74">
        <f t="shared" ref="AT15:AT78" si="7">$B$2</f>
        <v>25000000</v>
      </c>
      <c r="AU15" s="59">
        <f>AO$13</f>
        <v>0.04</v>
      </c>
      <c r="AV15" s="57">
        <f>Volatilities_Resets!$E4*0.01</f>
        <v>5.3175100000000003E-2</v>
      </c>
      <c r="AW15" s="61">
        <f>IF(AU15=AX$11,Volatilities_Resets!$AA4,IF(AU15&gt;=AW$11,IF(AU15&lt;AX$11,(((Volatilities_Resets!$AA4-Volatilities_Resets!$Y4)/50)*((Calculator!AU15-Calculator!AW$11)*10000)+Volatilities_Resets!$Y4)),IF(AU15&gt;=AW$10,IF(AU15&lt;AX$10,(((Volatilities_Resets!$Y4-Volatilities_Resets!$W4)/50)*((Calculator!AU15-Calculator!AW$10)*10000)+Volatilities_Resets!$W4)),IF(AU15&gt;=AW$9,IF(AU15&lt;AX$9,(((Volatilities_Resets!$W4-Volatilities_Resets!$U4)/50)*((Calculator!AU15-Calculator!AW$9)*10000)+Volatilities_Resets!$U4)),IF(AU15&gt;=AW$8,IF(AU15&lt;AX$8,(((Volatilities_Resets!$U4-Volatilities_Resets!$S4)/50)*((Calculator!AU15-Calculator!AW$8)*10000)+Volatilities_Resets!$S4)),IF(AU15&gt;=AW$7,IF(AU15&lt;AX$7,(((Volatilities_Resets!$S4-Volatilities_Resets!$Q4)/50)*((Calculator!AU15-Calculator!AW$7)*10000)+Volatilities_Resets!$Q4)),IF(AU15&gt;=AW$6,IF(AU15&lt;AX$6,(((Volatilities_Resets!$Q4-Volatilities_Resets!$O4)/50)*((Calculator!AU15-Calculator!AW$6)*10000)+Volatilities_Resets!$O4)),IF(AU15&gt;=AW$5,IF(AU15&lt;AX$5,(((Volatilities_Resets!$O4-Volatilities_Resets!$M4)/50)*((Calculator!AU15-Calculator!AW$5)*10000)+Volatilities_Resets!$M4)),IF(AU15&gt;=AW$4,IF(AU15&lt;AX$4,(((Volatilities_Resets!$M4-Volatilities_Resets!$K4)/50)*((Calculator!AU15-Calculator!AW$4)*10000)+Volatilities_Resets!$K4)),IF(AU15&gt;=AW$3,IF(AU15&lt;AX$3,(((Volatilities_Resets!$K4-Volatilities_Resets!$I4)/50)*((Calculator!AU15-Calculator!AW$3)*10000)+Volatilities_Resets!$I4)),IF(AU15&gt;=AW$2,IF(AU15&lt;AX$2,(((Volatilities_Resets!$I4-Volatilities_Resets!$G4)/50)*((Calculator!AU15-Calculator!AW$2)*10000)+Volatilities_Resets!$G4)),"Well, something broke...")))))))))))/10000</f>
        <v>1.342E-2</v>
      </c>
      <c r="AX15" s="47">
        <f ca="1">(((AV15-AU15)*(NORMDIST((AV15-AU15)/(AW15*SQRT(AS15)),0,1,TRUE)))+((AW15*SQRT(AS15))*(NORMDIST((AV15-AU15)/(AW15*SQRT(AS15)),0,1,FALSE))))*BF15*(AR15/360)*AT15</f>
        <v>27327.45828927177</v>
      </c>
      <c r="AY15" s="63">
        <f ca="1">(((AV15-AU15)*(NORMDIST((AV15-AU15)/((AW15+0.0001)*SQRT(AS15)),0,1,TRUE)))+((AW15+0.0001)*SQRT(AS15))*(NORMDIST((AV15-AU15)/((AW15+0.0001)*SQRT(AS15)),0,1,FALSE)))*BF15*(AR15/360)</f>
        <v>1.0931014033611643E-3</v>
      </c>
      <c r="AZ15" s="63">
        <f ca="1">AX15</f>
        <v>27327.45828927177</v>
      </c>
      <c r="BC15" s="63">
        <f t="shared" ref="BC15:BC78" ca="1" si="8">((AY15-(AX15/AT15))*AT15)*BF15</f>
        <v>7.6455212789100821E-2</v>
      </c>
      <c r="BD15" s="63">
        <f ca="1">SUM($BC$15:BC15)</f>
        <v>7.6455212789100821E-2</v>
      </c>
      <c r="BF15" s="52">
        <f ca="1">EXP(-AVERAGE(AV$15:AV15)*AS15)</f>
        <v>0.99557854520585776</v>
      </c>
      <c r="BH15" s="52">
        <v>1</v>
      </c>
      <c r="BI15" s="70">
        <f ca="1">D15</f>
        <v>45191</v>
      </c>
      <c r="BJ15" s="71">
        <f t="shared" ref="BJ15:BJ78" ca="1" si="9">EDATE(BI15,1)</f>
        <v>45221</v>
      </c>
      <c r="BK15" s="72">
        <f t="shared" ref="BK15:BK78" ca="1" si="10">BJ15-BI15</f>
        <v>30</v>
      </c>
      <c r="BL15" s="73">
        <f ca="1">SUM(BK$15:BK15)/360</f>
        <v>8.3333333333333329E-2</v>
      </c>
      <c r="BM15" s="74">
        <f t="shared" ref="BM15:BM78" si="11">$B$2</f>
        <v>25000000</v>
      </c>
      <c r="BN15" s="59">
        <f>BH$13</f>
        <v>0.05</v>
      </c>
      <c r="BO15" s="57">
        <f>Volatilities_Resets!$E4*0.01</f>
        <v>5.3175100000000003E-2</v>
      </c>
      <c r="BP15" s="61">
        <f>IF(BN15=BQ$11,Volatilities_Resets!$AA4,IF(BN15&gt;=BP$11,IF(BN15&lt;BQ$11,(((Volatilities_Resets!$AA4-Volatilities_Resets!$Y4)/50)*((Calculator!BN15-Calculator!BP$11)*10000)+Volatilities_Resets!$Y4)),IF(BN15&gt;=BP$10,IF(BN15&lt;BQ$10,(((Volatilities_Resets!$Y4-Volatilities_Resets!$W4)/50)*((Calculator!BN15-Calculator!BP$10)*10000)+Volatilities_Resets!$W4)),IF(BN15&gt;=BP$9,IF(BN15&lt;BQ$9,(((Volatilities_Resets!$W4-Volatilities_Resets!$U4)/50)*((Calculator!BN15-Calculator!BP$9)*10000)+Volatilities_Resets!$U4)),IF(BN15&gt;=BP$8,IF(BN15&lt;BQ$8,(((Volatilities_Resets!$U4-Volatilities_Resets!$S4)/50)*((Calculator!BN15-Calculator!BP$8)*10000)+Volatilities_Resets!$S4)),IF(BN15&gt;=BP$7,IF(BN15&lt;BQ$7,(((Volatilities_Resets!$S4-Volatilities_Resets!$Q4)/50)*((Calculator!BN15-Calculator!BP$7)*10000)+Volatilities_Resets!$Q4)),IF(BN15&gt;=BP$6,IF(BN15&lt;BQ$6,(((Volatilities_Resets!$Q4-Volatilities_Resets!$O4)/50)*((Calculator!BN15-Calculator!BP$6)*10000)+Volatilities_Resets!$O4)),IF(BN15&gt;=BP$5,IF(BN15&lt;BQ$5,(((Volatilities_Resets!$O4-Volatilities_Resets!$M4)/50)*((Calculator!BN15-Calculator!BP$5)*10000)+Volatilities_Resets!$M4)),IF(BN15&gt;=BP$4,IF(BN15&lt;BQ$4,(((Volatilities_Resets!$M4-Volatilities_Resets!$K4)/50)*((Calculator!BN15-Calculator!BP$4)*10000)+Volatilities_Resets!$K4)),IF(BN15&gt;=BP$3,IF(BN15&lt;BQ$3,(((Volatilities_Resets!$K4-Volatilities_Resets!$I4)/50)*((Calculator!BN15-Calculator!BP$3)*10000)+Volatilities_Resets!$I4)),IF(BN15&gt;=BP$2,IF(BN15&lt;BQ$2,(((Volatilities_Resets!$I4-Volatilities_Resets!$G4)/50)*((Calculator!BN15-Calculator!BP$2)*10000)+Volatilities_Resets!$G4)),"Well, something broke...")))))))))))/10000</f>
        <v>9.0919999999999994E-3</v>
      </c>
      <c r="BQ15" s="47">
        <f ca="1">(((BO15-BN15)*(NORMDIST((BO15-BN15)/(BP15*SQRT(BL15)),0,1,TRUE)))+((BP15*SQRT(BL15))*(NORMDIST((BO15-BN15)/(BP15*SQRT(BL15)),0,1,FALSE))))*BY15*(BK15/360)*BM15</f>
        <v>6884.9103817195191</v>
      </c>
      <c r="BR15" s="63">
        <f ca="1">(((BO15-BN15)*(NORMDIST((BO15-BN15)/((BP15+0.0001)*SQRT(BL15)),0,1,TRUE)))+((BP15+0.0001)*SQRT(BL15))*(NORMDIST((BO15-BN15)/((BP15+0.0001)*SQRT(BL15)),0,1,FALSE)))*BY15*(BK15/360)</f>
        <v>2.7585974674759252E-4</v>
      </c>
      <c r="BS15" s="63">
        <f ca="1">BQ15</f>
        <v>6884.9103817195191</v>
      </c>
      <c r="BV15" s="63">
        <f ca="1">((BR15-(BQ15/BM15))*BM15)*BY15</f>
        <v>11.532071990587381</v>
      </c>
      <c r="BW15" s="63">
        <f ca="1">SUM($BV$15:BV15)</f>
        <v>11.532071990587381</v>
      </c>
      <c r="BY15" s="52">
        <f ca="1">EXP(-AVERAGE(BO$15:BO15)*BL15)</f>
        <v>0.99557854520585776</v>
      </c>
      <c r="CA15" s="52">
        <v>1</v>
      </c>
      <c r="CB15" s="70">
        <f ca="1">D15</f>
        <v>45191</v>
      </c>
      <c r="CC15" s="71">
        <f t="shared" ref="CC15:CC78" ca="1" si="12">EDATE(CB15,1)</f>
        <v>45221</v>
      </c>
      <c r="CD15" s="72">
        <f t="shared" ref="CD15:CD78" ca="1" si="13">CC15-CB15</f>
        <v>30</v>
      </c>
      <c r="CE15" s="73">
        <f ca="1">SUM(CD$15:CD15)/360</f>
        <v>8.3333333333333329E-2</v>
      </c>
      <c r="CF15" s="74">
        <f t="shared" ref="CF15:CF78" si="14">$B$2</f>
        <v>25000000</v>
      </c>
      <c r="CG15" s="59">
        <f>CA$13</f>
        <v>0.06</v>
      </c>
      <c r="CH15" s="57">
        <f>Volatilities_Resets!$E4*0.01</f>
        <v>5.3175100000000003E-2</v>
      </c>
      <c r="CI15" s="61">
        <f>IF(CG15=CJ$11,Volatilities_Resets!$AA4,IF(CG15&gt;=CI$11,IF(CG15&lt;CJ$11,(((Volatilities_Resets!$AA4-Volatilities_Resets!$Y4)/50)*((Calculator!CG15-Calculator!CI$11)*10000)+Volatilities_Resets!$Y4)),IF(CG15&gt;=CI$10,IF(CG15&lt;CJ$10,(((Volatilities_Resets!$Y4-Volatilities_Resets!$W4)/50)*((Calculator!CG15-Calculator!CI$10)*10000)+Volatilities_Resets!$W4)),IF(CG15&gt;=CI$9,IF(CG15&lt;CJ$9,(((Volatilities_Resets!$W4-Volatilities_Resets!$U4)/50)*((Calculator!CG15-Calculator!CI$9)*10000)+Volatilities_Resets!$U4)),IF(CG15&gt;=CI$8,IF(CG15&lt;CJ$8,(((Volatilities_Resets!$U4-Volatilities_Resets!$S4)/50)*((Calculator!CG15-Calculator!CI$8)*10000)+Volatilities_Resets!$S4)),IF(CG15&gt;=CI$7,IF(CG15&lt;CJ$7,(((Volatilities_Resets!$S4-Volatilities_Resets!$Q4)/50)*((Calculator!CG15-Calculator!CI$7)*10000)+Volatilities_Resets!$Q4)),IF(CG15&gt;=CI$6,IF(CG15&lt;CJ$6,(((Volatilities_Resets!$Q4-Volatilities_Resets!$O4)/50)*((Calculator!CG15-Calculator!CI$6)*10000)+Volatilities_Resets!$O4)),IF(CG15&gt;=CI$5,IF(CG15&lt;CJ$5,(((Volatilities_Resets!$O4-Volatilities_Resets!$M4)/50)*((Calculator!CG15-Calculator!CI$5)*10000)+Volatilities_Resets!$M4)),IF(CG15&gt;=CI$4,IF(CG15&lt;CJ$4,(((Volatilities_Resets!$M4-Volatilities_Resets!$K4)/50)*((Calculator!CG15-Calculator!CI$4)*10000)+Volatilities_Resets!$K4)),IF(CG15&gt;=CI$3,IF(CG15&lt;CJ$3,(((Volatilities_Resets!$K4-Volatilities_Resets!$I4)/50)*((Calculator!CG15-Calculator!CI$3)*10000)+Volatilities_Resets!$I4)),IF(CG15&gt;=CI$2,IF(CG15&lt;CJ$2,(((Volatilities_Resets!$I4-Volatilities_Resets!$G4)/50)*((Calculator!CG15-Calculator!CI$2)*10000)+Volatilities_Resets!$G4)),"Well, something broke...")))))))))))/10000</f>
        <v>6.8129999999999996E-3</v>
      </c>
      <c r="CJ15" s="47">
        <f ca="1">(((CH15-CG15)*(NORMDIST((CH15-CG15)/(CI15*SQRT(CE15)),0,1,TRUE)))+((CI15*SQRT(CE15))*(NORMDIST((CH15-CG15)/(CI15*SQRT(CE15)),0,1,FALSE))))*CR15*(CD15/360)*CF15</f>
        <v>0.26852577119198101</v>
      </c>
      <c r="CK15" s="63">
        <f ca="1">(((CH15-CG15)*(NORMDIST((CH15-CG15)/((CI15+0.0001)*SQRT(CE15)),0,1,TRUE)))+((CI15+0.0001)*SQRT(CE15))*(NORMDIST((CH15-CG15)/((CI15+0.0001)*SQRT(CE15)),0,1,FALSE)))*CR15*(CD15/360)</f>
        <v>1.3274423337828479E-8</v>
      </c>
      <c r="CL15" s="63">
        <f ca="1">CJ15</f>
        <v>0.26852577119198101</v>
      </c>
      <c r="CO15" s="63">
        <f ca="1">((CK15-(CJ15/CF15))*CF15)*CR15</f>
        <v>6.3054780244455641E-2</v>
      </c>
      <c r="CP15" s="63">
        <f ca="1">SUM($CO$15:CO15)</f>
        <v>6.3054780244455641E-2</v>
      </c>
      <c r="CR15" s="52">
        <f ca="1">EXP(-AVERAGE(CH$15:CH15)*CE15)</f>
        <v>0.99557854520585776</v>
      </c>
      <c r="CT15"/>
      <c r="CU15"/>
      <c r="CV15"/>
      <c r="CW15"/>
      <c r="CX15"/>
      <c r="CY15"/>
      <c r="CZ15"/>
      <c r="DA15"/>
      <c r="DB15"/>
      <c r="DC15"/>
      <c r="DD15"/>
      <c r="DE15"/>
      <c r="DF15"/>
      <c r="DG15"/>
      <c r="DH15"/>
      <c r="DI15"/>
      <c r="DJ15"/>
      <c r="DK15"/>
      <c r="DL15"/>
    </row>
    <row r="16" spans="1:116" ht="15.75" customHeight="1" x14ac:dyDescent="0.2">
      <c r="B16" s="52">
        <v>1</v>
      </c>
      <c r="C16" s="52">
        <f t="shared" ref="C16:C50" ca="1" si="15">IF(D16="","",C15+1)</f>
        <v>2</v>
      </c>
      <c r="D16" s="71">
        <f t="shared" ref="D16:D79" ca="1" si="16">EDATE(D15,1)</f>
        <v>45221</v>
      </c>
      <c r="E16" s="71">
        <f t="shared" ca="1" si="0"/>
        <v>45252</v>
      </c>
      <c r="F16" s="72">
        <f t="shared" ca="1" si="1"/>
        <v>31</v>
      </c>
      <c r="G16" s="73">
        <f ca="1">SUM($F$15:F16)/360</f>
        <v>0.16944444444444445</v>
      </c>
      <c r="H16" s="74">
        <f t="shared" si="2"/>
        <v>25000000</v>
      </c>
      <c r="I16" s="59">
        <f>IF('Cap Pricer'!$E$22=DataValidation!$C$2,'Cap Pricer'!$E$23,IF('Cap Pricer'!$E$22=DataValidation!$C$3,VLOOKUP($B16,'Cap Pricer'!$C$25:$E$31,3),""))</f>
        <v>0.02</v>
      </c>
      <c r="J16" s="57">
        <f>Volatilities_Resets!$E5*0.01</f>
        <v>5.3621100000000005E-2</v>
      </c>
      <c r="K16" s="61">
        <f>IF(I16=L$11,Volatilities_Resets!$AA5,IF(I16&gt;=K$11,IF(I16&lt;L$11,(((Volatilities_Resets!$AA5-Volatilities_Resets!$Y5)/50)*((Calculator!I16-Calculator!K$11)*10000)+Volatilities_Resets!$Y5)),IF(I16&gt;=K$10,IF(I16&lt;L$10,(((Volatilities_Resets!$Y5-Volatilities_Resets!$W5)/50)*((Calculator!I16-Calculator!K$10)*10000)+Volatilities_Resets!$W5)),IF(I16&gt;=K$9,IF(I16&lt;L$9,(((Volatilities_Resets!$W5-Volatilities_Resets!$U5)/50)*((Calculator!I16-Calculator!K$9)*10000)+Volatilities_Resets!$U5)),IF(I16&gt;=K$8,IF(I16&lt;L$8,(((Volatilities_Resets!$U5-Volatilities_Resets!$S5)/50)*((Calculator!I16-Calculator!K$8)*10000)+Volatilities_Resets!$S5)),IF(I16&gt;=K$7,IF(I16&lt;L$7,(((Volatilities_Resets!$S5-Volatilities_Resets!$Q5)/50)*((Calculator!I16-Calculator!K$7)*10000)+Volatilities_Resets!$Q5)),IF(I16&gt;=K$6,IF(I16&lt;L$6,(((Volatilities_Resets!$Q5-Volatilities_Resets!$O5)/50)*((Calculator!I16-Calculator!K$6)*10000)+Volatilities_Resets!$O5)),IF(I16&gt;=K$5,IF(I16&lt;L$5,(((Volatilities_Resets!$O5-Volatilities_Resets!$M5)/50)*((Calculator!I16-Calculator!K$5)*10000)+Volatilities_Resets!$M5)),IF(I16&gt;=K$4,IF(I16&lt;L$4,(((Volatilities_Resets!$M5-Volatilities_Resets!$K5)/50)*((Calculator!I16-Calculator!K$4)*10000)+Volatilities_Resets!$K5)),IF(I16&gt;=K$3,IF(I16&lt;L$3,(((Volatilities_Resets!$K5-Volatilities_Resets!$I5)/50)*((Calculator!I16-Calculator!K$3)*10000)+Volatilities_Resets!$I5)),IF(I16&gt;=K$2,IF(I16&lt;L$2,(((Volatilities_Resets!$I5-Volatilities_Resets!$G5)/50)*((Calculator!I16-Calculator!K$2)*10000)+Volatilities_Resets!$G5)),"Well, something broke...")))))))))))/10000</f>
        <v>2.2006000000000001E-2</v>
      </c>
      <c r="L16" s="47">
        <f t="shared" ref="L16:L79" ca="1" si="17">(((J16-I16)*(NORMDIST((J16-I16)/(K16*SQRT(G16)),0,1,TRUE)))+((K16*SQRT(G16))*(NORMDIST((J16-I16)/(K16*SQRT(G16)),0,1,FALSE))))*T16*(F16/360)*H16</f>
        <v>71727.304291269887</v>
      </c>
      <c r="M16" s="63">
        <f t="shared" ref="M16:M79" ca="1" si="18">(((J16-I16)*(NORMDIST((J16-I16)/((K16+0.0001)*SQRT(G16)),0,1,TRUE)))+((K16+0.0001)*SQRT(G16))*(NORMDIST((J16-I16)/((K16+0.0001)*SQRT(G16)),0,1,FALSE)))*T16*(F16/360)</f>
        <v>2.869093646663707E-3</v>
      </c>
      <c r="N16" s="63">
        <f ca="1">N15+L16</f>
        <v>140536.50822262611</v>
      </c>
      <c r="Q16" s="63">
        <f t="shared" ref="Q16:Q79" ca="1" si="19">((M16-(L16/H16))*H16)*T16</f>
        <v>3.6543179337347118E-2</v>
      </c>
      <c r="R16" s="63">
        <f ca="1">SUM($Q$15:Q16)</f>
        <v>3.6571191464676973E-2</v>
      </c>
      <c r="T16" s="52">
        <f ca="1">EXP(-AVERAGE(J$15:J16)*G16)</f>
        <v>0.99099279869005585</v>
      </c>
      <c r="U16" s="57"/>
      <c r="V16" s="52">
        <f t="shared" ref="V16:V79" ca="1" si="20">IF(W16="","",V15+1)</f>
        <v>2</v>
      </c>
      <c r="W16" s="71">
        <f t="shared" ref="W16:W79" ca="1" si="21">EDATE(W15,1)</f>
        <v>45221</v>
      </c>
      <c r="X16" s="71">
        <f t="shared" ca="1" si="3"/>
        <v>45252</v>
      </c>
      <c r="Y16" s="72">
        <f t="shared" ca="1" si="4"/>
        <v>31</v>
      </c>
      <c r="Z16" s="73">
        <f ca="1">SUM(Y$15:Y16)/360</f>
        <v>0.16944444444444445</v>
      </c>
      <c r="AA16" s="74">
        <f t="shared" ref="AA16:AA78" si="22">$B$2</f>
        <v>25000000</v>
      </c>
      <c r="AB16" s="59">
        <f t="shared" ref="AB16:AB79" si="23">V$13</f>
        <v>0.03</v>
      </c>
      <c r="AC16" s="57">
        <f>Volatilities_Resets!$E5*0.01</f>
        <v>5.3621100000000005E-2</v>
      </c>
      <c r="AD16" s="61">
        <f>IF(AB16=AE$11,Volatilities_Resets!$AA5,IF(AB16&gt;=AD$11,IF(AB16&lt;AE$11,(((Volatilities_Resets!$AA5-Volatilities_Resets!$Y5)/50)*((Calculator!AB16-Calculator!AD$11)*10000)+Volatilities_Resets!$Y5)),IF(AB16&gt;=AD$10,IF(AB16&lt;AE$10,(((Volatilities_Resets!$Y5-Volatilities_Resets!$W5)/50)*((Calculator!AB16-Calculator!AD$10)*10000)+Volatilities_Resets!$W5)),IF(AB16&gt;=AD$9,IF(AB16&lt;AE$9,(((Volatilities_Resets!$W5-Volatilities_Resets!$U5)/50)*((Calculator!AB16-Calculator!AD$9)*10000)+Volatilities_Resets!$U5)),IF(AB16&gt;=AD$8,IF(AB16&lt;AE$8,(((Volatilities_Resets!$U5-Volatilities_Resets!$S5)/50)*((Calculator!AB16-Calculator!AD$8)*10000)+Volatilities_Resets!$S5)),IF(AB16&gt;=AD$7,IF(AB16&lt;AE$7,(((Volatilities_Resets!$S5-Volatilities_Resets!$Q5)/50)*((Calculator!AB16-Calculator!AD$7)*10000)+Volatilities_Resets!$Q5)),IF(AB16&gt;=AD$6,IF(AB16&lt;AE$6,(((Volatilities_Resets!$Q5-Volatilities_Resets!$O5)/50)*((Calculator!AB16-Calculator!AD$6)*10000)+Volatilities_Resets!$O5)),IF(AB16&gt;=AD$5,IF(AB16&lt;AE$5,(((Volatilities_Resets!$O5-Volatilities_Resets!$M5)/50)*((Calculator!AB16-Calculator!AD$5)*10000)+Volatilities_Resets!$M5)),IF(AB16&gt;=AD$4,IF(AB16&lt;AE$4,(((Volatilities_Resets!$M5-Volatilities_Resets!$K5)/50)*((Calculator!AB16-Calculator!AD$4)*10000)+Volatilities_Resets!$K5)),IF(AB16&gt;=AD$3,IF(AB16&lt;AE$3,(((Volatilities_Resets!$K5-Volatilities_Resets!$I5)/50)*((Calculator!AB16-Calculator!AD$3)*10000)+Volatilities_Resets!$I5)),IF(AB16&gt;=AD$2,IF(AB16&lt;AE$2,(((Volatilities_Resets!$I5-Volatilities_Resets!$G5)/50)*((Calculator!AB16-Calculator!AD$2)*10000)+Volatilities_Resets!$G5)),"Well, something broke...")))))))))))/10000</f>
        <v>1.8197000000000001E-2</v>
      </c>
      <c r="AE16" s="63">
        <f t="shared" ref="AE16:AE79" ca="1" si="24">(((AC16-AB16)*(NORMDIST((AC16-AB16)/(AD16*SQRT(Z16)),0,1,TRUE)))+((AD16*SQRT(Z16))*(NORMDIST((AC16-AB16)/(AD16*SQRT(Z16)),0,1,FALSE))))*AM16*(Y16/360)*AA16</f>
        <v>50396.468927606635</v>
      </c>
      <c r="AF16" s="63">
        <f t="shared" ref="AF16:AF79" ca="1" si="25">(((AC16-AB16)*(NORMDIST((AC16-AB16)/((AD16+0.0001)*SQRT(Z16)),0,1,TRUE)))+((AD16+0.0001)*SQRT(Z16))*(NORMDIST((AC16-AB16)/((AD16+0.0001)*SQRT(Z16)),0,1,FALSE)))*AM16*(Y16/360)</f>
        <v>2.0158687349218977E-3</v>
      </c>
      <c r="AG16" s="63">
        <f ca="1">AG15+AE16</f>
        <v>98464.463705281058</v>
      </c>
      <c r="AJ16" s="63">
        <f t="shared" ref="AJ16:AJ79" ca="1" si="26">((AF16-(AE16/AA16))*AA16)*AM16</f>
        <v>0.24719863551008017</v>
      </c>
      <c r="AK16" s="63">
        <f ca="1">SUM($AJ$15:AJ16)</f>
        <v>0.24858990281332108</v>
      </c>
      <c r="AM16" s="52">
        <f ca="1">EXP(-AVERAGE(AC$15:AC16)*Z16)</f>
        <v>0.99099279869005585</v>
      </c>
      <c r="AO16" s="52">
        <f t="shared" ref="AO16:AO79" ca="1" si="27">IF(AP16="","",AO15+1)</f>
        <v>2</v>
      </c>
      <c r="AP16" s="71">
        <f t="shared" ref="AP16:AP79" ca="1" si="28">EDATE(AP15,1)</f>
        <v>45221</v>
      </c>
      <c r="AQ16" s="71">
        <f t="shared" ca="1" si="5"/>
        <v>45252</v>
      </c>
      <c r="AR16" s="72">
        <f t="shared" ca="1" si="6"/>
        <v>31</v>
      </c>
      <c r="AS16" s="73">
        <f ca="1">SUM(AR$15:AR16)/360</f>
        <v>0.16944444444444445</v>
      </c>
      <c r="AT16" s="74">
        <f t="shared" si="7"/>
        <v>25000000</v>
      </c>
      <c r="AU16" s="59">
        <f t="shared" ref="AU16:AU79" si="29">AO$13</f>
        <v>0.04</v>
      </c>
      <c r="AV16" s="57">
        <f>Volatilities_Resets!$E5*0.01</f>
        <v>5.3621100000000005E-2</v>
      </c>
      <c r="AW16" s="61">
        <f>IF(AU16=AX$11,Volatilities_Resets!$AA5,IF(AU16&gt;=AW$11,IF(AU16&lt;AX$11,(((Volatilities_Resets!$AA5-Volatilities_Resets!$Y5)/50)*((Calculator!AU16-Calculator!AW$11)*10000)+Volatilities_Resets!$Y5)),IF(AU16&gt;=AW$10,IF(AU16&lt;AX$10,(((Volatilities_Resets!$Y5-Volatilities_Resets!$W5)/50)*((Calculator!AU16-Calculator!AW$10)*10000)+Volatilities_Resets!$W5)),IF(AU16&gt;=AW$9,IF(AU16&lt;AX$9,(((Volatilities_Resets!$W5-Volatilities_Resets!$U5)/50)*((Calculator!AU16-Calculator!AW$9)*10000)+Volatilities_Resets!$U5)),IF(AU16&gt;=AW$8,IF(AU16&lt;AX$8,(((Volatilities_Resets!$U5-Volatilities_Resets!$S5)/50)*((Calculator!AU16-Calculator!AW$8)*10000)+Volatilities_Resets!$S5)),IF(AU16&gt;=AW$7,IF(AU16&lt;AX$7,(((Volatilities_Resets!$S5-Volatilities_Resets!$Q5)/50)*((Calculator!AU16-Calculator!AW$7)*10000)+Volatilities_Resets!$Q5)),IF(AU16&gt;=AW$6,IF(AU16&lt;AX$6,(((Volatilities_Resets!$Q5-Volatilities_Resets!$O5)/50)*((Calculator!AU16-Calculator!AW$6)*10000)+Volatilities_Resets!$O5)),IF(AU16&gt;=AW$5,IF(AU16&lt;AX$5,(((Volatilities_Resets!$O5-Volatilities_Resets!$M5)/50)*((Calculator!AU16-Calculator!AW$5)*10000)+Volatilities_Resets!$M5)),IF(AU16&gt;=AW$4,IF(AU16&lt;AX$4,(((Volatilities_Resets!$M5-Volatilities_Resets!$K5)/50)*((Calculator!AU16-Calculator!AW$4)*10000)+Volatilities_Resets!$K5)),IF(AU16&gt;=AW$3,IF(AU16&lt;AX$3,(((Volatilities_Resets!$K5-Volatilities_Resets!$I5)/50)*((Calculator!AU16-Calculator!AW$3)*10000)+Volatilities_Resets!$I5)),IF(AU16&gt;=AW$2,IF(AU16&lt;AX$2,(((Volatilities_Resets!$I5-Volatilities_Resets!$G5)/50)*((Calculator!AU16-Calculator!AW$2)*10000)+Volatilities_Resets!$G5)),"Well, something broke...")))))))))))/10000</f>
        <v>1.3482999999999998E-2</v>
      </c>
      <c r="AX16" s="63">
        <f t="shared" ref="AX16:AX79" ca="1" si="30">(((AV16-AU16)*(NORMDIST((AV16-AU16)/(AW16*SQRT(AS16)),0,1,TRUE)))+((AW16*SQRT(AS16))*(NORMDIST((AV16-AU16)/(AW16*SQRT(AS16)),0,1,FALSE))))*BF16*(AR16/360)*AT16</f>
        <v>29086.404086981285</v>
      </c>
      <c r="AY16" s="63">
        <f t="shared" ref="AY16:AY79" ca="1" si="31">(((AV16-AU16)*(NORMDIST((AV16-AU16)/((AW16+0.0001)*SQRT(AS16)),0,1,TRUE)))+((AW16+0.0001)*SQRT(AS16))*(NORMDIST((AV16-AU16)/((AW16+0.0001)*SQRT(AS16)),0,1,FALSE)))*BF16*(AR16/360)</f>
        <v>1.1635266825408776E-3</v>
      </c>
      <c r="AZ16" s="63">
        <f ca="1">AZ15+AX16</f>
        <v>56413.862376253055</v>
      </c>
      <c r="BC16" s="63">
        <f t="shared" ca="1" si="8"/>
        <v>1.7470970560477204</v>
      </c>
      <c r="BD16" s="63">
        <f ca="1">SUM($BC$15:BC16)</f>
        <v>1.8235522688368211</v>
      </c>
      <c r="BF16" s="52">
        <f ca="1">EXP(-AVERAGE(AV$15:AV16)*AS16)</f>
        <v>0.99099279869005585</v>
      </c>
      <c r="BH16" s="52">
        <f t="shared" ref="BH16:BH79" ca="1" si="32">IF(BI16="","",BH15+1)</f>
        <v>2</v>
      </c>
      <c r="BI16" s="71">
        <f t="shared" ref="BI16:BI79" ca="1" si="33">EDATE(BI15,1)</f>
        <v>45221</v>
      </c>
      <c r="BJ16" s="71">
        <f t="shared" ca="1" si="9"/>
        <v>45252</v>
      </c>
      <c r="BK16" s="72">
        <f t="shared" ca="1" si="10"/>
        <v>31</v>
      </c>
      <c r="BL16" s="73">
        <f ca="1">SUM(BK$15:BK16)/360</f>
        <v>0.16944444444444445</v>
      </c>
      <c r="BM16" s="74">
        <f t="shared" si="11"/>
        <v>25000000</v>
      </c>
      <c r="BN16" s="59">
        <f t="shared" ref="BN16:BN79" si="34">BH$13</f>
        <v>0.05</v>
      </c>
      <c r="BO16" s="57">
        <f>Volatilities_Resets!$E5*0.01</f>
        <v>5.3621100000000005E-2</v>
      </c>
      <c r="BP16" s="61">
        <f>IF(BN16=BQ$11,Volatilities_Resets!$AA5,IF(BN16&gt;=BP$11,IF(BN16&lt;BQ$11,(((Volatilities_Resets!$AA5-Volatilities_Resets!$Y5)/50)*((Calculator!BN16-Calculator!BP$11)*10000)+Volatilities_Resets!$Y5)),IF(BN16&gt;=BP$10,IF(BN16&lt;BQ$10,(((Volatilities_Resets!$Y5-Volatilities_Resets!$W5)/50)*((Calculator!BN16-Calculator!BP$10)*10000)+Volatilities_Resets!$W5)),IF(BN16&gt;=BP$9,IF(BN16&lt;BQ$9,(((Volatilities_Resets!$W5-Volatilities_Resets!$U5)/50)*((Calculator!BN16-Calculator!BP$9)*10000)+Volatilities_Resets!$U5)),IF(BN16&gt;=BP$8,IF(BN16&lt;BQ$8,(((Volatilities_Resets!$U5-Volatilities_Resets!$S5)/50)*((Calculator!BN16-Calculator!BP$8)*10000)+Volatilities_Resets!$S5)),IF(BN16&gt;=BP$7,IF(BN16&lt;BQ$7,(((Volatilities_Resets!$S5-Volatilities_Resets!$Q5)/50)*((Calculator!BN16-Calculator!BP$7)*10000)+Volatilities_Resets!$Q5)),IF(BN16&gt;=BP$6,IF(BN16&lt;BQ$6,(((Volatilities_Resets!$Q5-Volatilities_Resets!$O5)/50)*((Calculator!BN16-Calculator!BP$6)*10000)+Volatilities_Resets!$O5)),IF(BN16&gt;=BP$5,IF(BN16&lt;BQ$5,(((Volatilities_Resets!$O5-Volatilities_Resets!$M5)/50)*((Calculator!BN16-Calculator!BP$5)*10000)+Volatilities_Resets!$M5)),IF(BN16&gt;=BP$4,IF(BN16&lt;BQ$4,(((Volatilities_Resets!$M5-Volatilities_Resets!$K5)/50)*((Calculator!BN16-Calculator!BP$4)*10000)+Volatilities_Resets!$K5)),IF(BN16&gt;=BP$3,IF(BN16&lt;BQ$3,(((Volatilities_Resets!$K5-Volatilities_Resets!$I5)/50)*((Calculator!BN16-Calculator!BP$3)*10000)+Volatilities_Resets!$I5)),IF(BN16&gt;=BP$2,IF(BN16&lt;BQ$2,(((Volatilities_Resets!$I5-Volatilities_Resets!$G5)/50)*((Calculator!BN16-Calculator!BP$2)*10000)+Volatilities_Resets!$G5)),"Well, something broke...")))))))))))/10000</f>
        <v>9.1479999999999999E-3</v>
      </c>
      <c r="BQ16" s="63">
        <f t="shared" ref="BQ16:BQ79" ca="1" si="35">(((BO16-BN16)*(NORMDIST((BO16-BN16)/(BP16*SQRT(BL16)),0,1,TRUE)))+((BP16*SQRT(BL16))*(NORMDIST((BO16-BN16)/(BP16*SQRT(BL16)),0,1,FALSE))))*BY16*(BK16/360)*BM16</f>
        <v>8444.9071699119286</v>
      </c>
      <c r="BR16" s="63">
        <f t="shared" ref="BR16:BR79" ca="1" si="36">(((BO16-BN16)*(NORMDIST((BO16-BN16)/((BP16+0.0001)*SQRT(BL16)),0,1,TRUE)))+((BP16+0.0001)*SQRT(BL16))*(NORMDIST((BO16-BN16)/((BP16+0.0001)*SQRT(BL16)),0,1,FALSE)))*BY16*(BK16/360)</f>
        <v>3.3868330014245212E-4</v>
      </c>
      <c r="BS16" s="63">
        <f ca="1">BS15+BQ16</f>
        <v>15329.817551631448</v>
      </c>
      <c r="BV16" s="63">
        <f t="shared" ref="BV16:BV79" ca="1" si="37">((BR16-(BQ16/BM16))*BM16)*BY16</f>
        <v>21.975595955079079</v>
      </c>
      <c r="BW16" s="63">
        <f ca="1">SUM($BV$15:BV16)</f>
        <v>33.507667945666462</v>
      </c>
      <c r="BY16" s="52">
        <f ca="1">EXP(-AVERAGE(BO$15:BO16)*BL16)</f>
        <v>0.99099279869005585</v>
      </c>
      <c r="CA16" s="52">
        <f t="shared" ref="CA16:CA79" ca="1" si="38">IF(CB16="","",CA15+1)</f>
        <v>2</v>
      </c>
      <c r="CB16" s="71">
        <f t="shared" ref="CB16:CB79" ca="1" si="39">EDATE(CB15,1)</f>
        <v>45221</v>
      </c>
      <c r="CC16" s="71">
        <f t="shared" ca="1" si="12"/>
        <v>45252</v>
      </c>
      <c r="CD16" s="72">
        <f t="shared" ca="1" si="13"/>
        <v>31</v>
      </c>
      <c r="CE16" s="73">
        <f ca="1">SUM(CD$15:CD16)/360</f>
        <v>0.16944444444444445</v>
      </c>
      <c r="CF16" s="74">
        <f t="shared" si="14"/>
        <v>25000000</v>
      </c>
      <c r="CG16" s="59">
        <f t="shared" ref="CG16:CG79" si="40">CA$13</f>
        <v>0.06</v>
      </c>
      <c r="CH16" s="57">
        <f>Volatilities_Resets!$E5*0.01</f>
        <v>5.3621100000000005E-2</v>
      </c>
      <c r="CI16" s="61">
        <f>IF(CG16=CJ$11,Volatilities_Resets!$AA5,IF(CG16&gt;=CI$11,IF(CG16&lt;CJ$11,(((Volatilities_Resets!$AA5-Volatilities_Resets!$Y5)/50)*((Calculator!CG16-Calculator!CI$11)*10000)+Volatilities_Resets!$Y5)),IF(CG16&gt;=CI$10,IF(CG16&lt;CJ$10,(((Volatilities_Resets!$Y5-Volatilities_Resets!$W5)/50)*((Calculator!CG16-Calculator!CI$10)*10000)+Volatilities_Resets!$W5)),IF(CG16&gt;=CI$9,IF(CG16&lt;CJ$9,(((Volatilities_Resets!$W5-Volatilities_Resets!$U5)/50)*((Calculator!CG16-Calculator!CI$9)*10000)+Volatilities_Resets!$U5)),IF(CG16&gt;=CI$8,IF(CG16&lt;CJ$8,(((Volatilities_Resets!$U5-Volatilities_Resets!$S5)/50)*((Calculator!CG16-Calculator!CI$8)*10000)+Volatilities_Resets!$S5)),IF(CG16&gt;=CI$7,IF(CG16&lt;CJ$7,(((Volatilities_Resets!$S5-Volatilities_Resets!$Q5)/50)*((Calculator!CG16-Calculator!CI$7)*10000)+Volatilities_Resets!$Q5)),IF(CG16&gt;=CI$6,IF(CG16&lt;CJ$6,(((Volatilities_Resets!$Q5-Volatilities_Resets!$O5)/50)*((Calculator!CG16-Calculator!CI$6)*10000)+Volatilities_Resets!$O5)),IF(CG16&gt;=CI$5,IF(CG16&lt;CJ$5,(((Volatilities_Resets!$O5-Volatilities_Resets!$M5)/50)*((Calculator!CG16-Calculator!CI$5)*10000)+Volatilities_Resets!$M5)),IF(CG16&gt;=CI$4,IF(CG16&lt;CJ$4,(((Volatilities_Resets!$M5-Volatilities_Resets!$K5)/50)*((Calculator!CG16-Calculator!CI$4)*10000)+Volatilities_Resets!$K5)),IF(CG16&gt;=CI$3,IF(CG16&lt;CJ$3,(((Volatilities_Resets!$K5-Volatilities_Resets!$I5)/50)*((Calculator!CG16-Calculator!CI$3)*10000)+Volatilities_Resets!$I5)),IF(CG16&gt;=CI$2,IF(CG16&lt;CJ$2,(((Volatilities_Resets!$I5-Volatilities_Resets!$G5)/50)*((Calculator!CG16-Calculator!CI$2)*10000)+Volatilities_Resets!$G5)),"Well, something broke...")))))))))))/10000</f>
        <v>6.8209999999999998E-3</v>
      </c>
      <c r="CJ16" s="63">
        <f t="shared" ref="CJ16:CJ79" ca="1" si="41">(((CH16-CG16)*(NORMDIST((CH16-CG16)/(CI16*SQRT(CE16)),0,1,TRUE)))+((CI16*SQRT(CE16))*(NORMDIST((CH16-CG16)/(CI16*SQRT(CE16)),0,1,FALSE))))*CR16*(CD16/360)*CF16</f>
        <v>23.808525650790632</v>
      </c>
      <c r="CK16" s="63">
        <f t="shared" ref="CK16:CK79" ca="1" si="42">(((CH16-CG16)*(NORMDIST((CH16-CG16)/((CI16+0.0001)*SQRT(CE16)),0,1,TRUE)))+((CI16+0.0001)*SQRT(CE16))*(NORMDIST((CH16-CG16)/((CI16+0.0001)*SQRT(CE16)),0,1,FALSE)))*CR16*(CD16/360)</f>
        <v>1.0625104713633203E-6</v>
      </c>
      <c r="CL16" s="63">
        <f ca="1">CL15+CJ16</f>
        <v>24.077051421982613</v>
      </c>
      <c r="CO16" s="63">
        <f t="shared" ref="CO16:CO79" ca="1" si="43">((CK16-(CJ16/CF16))*CF16)*CR16</f>
        <v>2.7294281739846902</v>
      </c>
      <c r="CP16" s="63">
        <f ca="1">SUM($CO$15:CO16)</f>
        <v>2.7924829542291456</v>
      </c>
      <c r="CR16" s="52">
        <f ca="1">EXP(-AVERAGE(CH$15:CH16)*CE16)</f>
        <v>0.99099279869005585</v>
      </c>
      <c r="CT16"/>
      <c r="CU16"/>
      <c r="CV16"/>
      <c r="CW16"/>
      <c r="CX16"/>
      <c r="CY16"/>
      <c r="CZ16"/>
      <c r="DA16"/>
      <c r="DB16"/>
      <c r="DC16"/>
      <c r="DD16"/>
      <c r="DE16"/>
      <c r="DF16"/>
      <c r="DG16"/>
      <c r="DH16"/>
      <c r="DI16"/>
      <c r="DJ16"/>
      <c r="DK16"/>
      <c r="DL16"/>
    </row>
    <row r="17" spans="2:116" ht="15.75" customHeight="1" x14ac:dyDescent="0.2">
      <c r="B17" s="52">
        <v>1</v>
      </c>
      <c r="C17" s="52">
        <f t="shared" ca="1" si="15"/>
        <v>3</v>
      </c>
      <c r="D17" s="71">
        <f ca="1">EDATE(D16,1)</f>
        <v>45252</v>
      </c>
      <c r="E17" s="71">
        <f t="shared" ca="1" si="0"/>
        <v>45282</v>
      </c>
      <c r="F17" s="72">
        <f t="shared" ca="1" si="1"/>
        <v>30</v>
      </c>
      <c r="G17" s="73">
        <f ca="1">SUM($F$15:F17)/360</f>
        <v>0.25277777777777777</v>
      </c>
      <c r="H17" s="74">
        <f t="shared" si="2"/>
        <v>25000000</v>
      </c>
      <c r="I17" s="59">
        <f>IF('Cap Pricer'!$E$22=DataValidation!$C$2,'Cap Pricer'!$E$23,IF('Cap Pricer'!$E$22=DataValidation!$C$3,VLOOKUP($B17,'Cap Pricer'!$C$25:$E$31,3),""))</f>
        <v>0.02</v>
      </c>
      <c r="J17" s="57">
        <f>Volatilities_Resets!$E6*0.01</f>
        <v>5.4037600000000005E-2</v>
      </c>
      <c r="K17" s="61">
        <f>IF(I17=L$11,Volatilities_Resets!$AA6,IF(I17&gt;=K$11,IF(I17&lt;L$11,(((Volatilities_Resets!$AA6-Volatilities_Resets!$Y6)/50)*((Calculator!I17-Calculator!K$11)*10000)+Volatilities_Resets!$Y6)),IF(I17&gt;=K$10,IF(I17&lt;L$10,(((Volatilities_Resets!$Y6-Volatilities_Resets!$W6)/50)*((Calculator!I17-Calculator!K$10)*10000)+Volatilities_Resets!$W6)),IF(I17&gt;=K$9,IF(I17&lt;L$9,(((Volatilities_Resets!$W6-Volatilities_Resets!$U6)/50)*((Calculator!I17-Calculator!K$9)*10000)+Volatilities_Resets!$U6)),IF(I17&gt;=K$8,IF(I17&lt;L$8,(((Volatilities_Resets!$U6-Volatilities_Resets!$S6)/50)*((Calculator!I17-Calculator!K$8)*10000)+Volatilities_Resets!$S6)),IF(I17&gt;=K$7,IF(I17&lt;L$7,(((Volatilities_Resets!$S6-Volatilities_Resets!$Q6)/50)*((Calculator!I17-Calculator!K$7)*10000)+Volatilities_Resets!$Q6)),IF(I17&gt;=K$6,IF(I17&lt;L$6,(((Volatilities_Resets!$Q6-Volatilities_Resets!$O6)/50)*((Calculator!I17-Calculator!K$6)*10000)+Volatilities_Resets!$O6)),IF(I17&gt;=K$5,IF(I17&lt;L$5,(((Volatilities_Resets!$O6-Volatilities_Resets!$M6)/50)*((Calculator!I17-Calculator!K$5)*10000)+Volatilities_Resets!$M6)),IF(I17&gt;=K$4,IF(I17&lt;L$4,(((Volatilities_Resets!$M6-Volatilities_Resets!$K6)/50)*((Calculator!I17-Calculator!K$4)*10000)+Volatilities_Resets!$K6)),IF(I17&gt;=K$3,IF(I17&lt;L$3,(((Volatilities_Resets!$K6-Volatilities_Resets!$I6)/50)*((Calculator!I17-Calculator!K$3)*10000)+Volatilities_Resets!$I6)),IF(I17&gt;=K$2,IF(I17&lt;L$2,(((Volatilities_Resets!$I6-Volatilities_Resets!$G6)/50)*((Calculator!I17-Calculator!K$2)*10000)+Volatilities_Resets!$G6)),"Well, something broke...")))))))))))/10000</f>
        <v>2.1904E-2</v>
      </c>
      <c r="L17" s="47">
        <f t="shared" ca="1" si="17"/>
        <v>69963.426966426356</v>
      </c>
      <c r="M17" s="63">
        <f t="shared" ca="1" si="18"/>
        <v>2.798551279138218E-3</v>
      </c>
      <c r="N17" s="63">
        <f ca="1">N16+L17</f>
        <v>210499.93518905248</v>
      </c>
      <c r="Q17" s="63">
        <f t="shared" ca="1" si="19"/>
        <v>0.35023345164110042</v>
      </c>
      <c r="R17" s="63">
        <f ca="1">SUM($Q$15:Q17)</f>
        <v>0.38680464310577739</v>
      </c>
      <c r="T17" s="52">
        <f ca="1">EXP(-AVERAGE(J$15:J17)*G17)</f>
        <v>0.98653967454038594</v>
      </c>
      <c r="U17" s="57"/>
      <c r="V17" s="52">
        <f t="shared" ca="1" si="20"/>
        <v>3</v>
      </c>
      <c r="W17" s="71">
        <f ca="1">EDATE(W16,1)</f>
        <v>45252</v>
      </c>
      <c r="X17" s="71">
        <f t="shared" ca="1" si="3"/>
        <v>45282</v>
      </c>
      <c r="Y17" s="72">
        <f t="shared" ca="1" si="4"/>
        <v>30</v>
      </c>
      <c r="Z17" s="73">
        <f ca="1">SUM(Y$15:Y17)/360</f>
        <v>0.25277777777777777</v>
      </c>
      <c r="AA17" s="74">
        <f t="shared" si="22"/>
        <v>25000000</v>
      </c>
      <c r="AB17" s="59">
        <f t="shared" si="23"/>
        <v>0.03</v>
      </c>
      <c r="AC17" s="57">
        <f>Volatilities_Resets!$E6*0.01</f>
        <v>5.4037600000000005E-2</v>
      </c>
      <c r="AD17" s="61">
        <f>IF(AB17=AE$11,Volatilities_Resets!$AA6,IF(AB17&gt;=AD$11,IF(AB17&lt;AE$11,(((Volatilities_Resets!$AA6-Volatilities_Resets!$Y6)/50)*((Calculator!AB17-Calculator!AD$11)*10000)+Volatilities_Resets!$Y6)),IF(AB17&gt;=AD$10,IF(AB17&lt;AE$10,(((Volatilities_Resets!$Y6-Volatilities_Resets!$W6)/50)*((Calculator!AB17-Calculator!AD$10)*10000)+Volatilities_Resets!$W6)),IF(AB17&gt;=AD$9,IF(AB17&lt;AE$9,(((Volatilities_Resets!$W6-Volatilities_Resets!$U6)/50)*((Calculator!AB17-Calculator!AD$9)*10000)+Volatilities_Resets!$U6)),IF(AB17&gt;=AD$8,IF(AB17&lt;AE$8,(((Volatilities_Resets!$U6-Volatilities_Resets!$S6)/50)*((Calculator!AB17-Calculator!AD$8)*10000)+Volatilities_Resets!$S6)),IF(AB17&gt;=AD$7,IF(AB17&lt;AE$7,(((Volatilities_Resets!$S6-Volatilities_Resets!$Q6)/50)*((Calculator!AB17-Calculator!AD$7)*10000)+Volatilities_Resets!$Q6)),IF(AB17&gt;=AD$6,IF(AB17&lt;AE$6,(((Volatilities_Resets!$Q6-Volatilities_Resets!$O6)/50)*((Calculator!AB17-Calculator!AD$6)*10000)+Volatilities_Resets!$O6)),IF(AB17&gt;=AD$5,IF(AB17&lt;AE$5,(((Volatilities_Resets!$O6-Volatilities_Resets!$M6)/50)*((Calculator!AB17-Calculator!AD$5)*10000)+Volatilities_Resets!$M6)),IF(AB17&gt;=AD$4,IF(AB17&lt;AE$4,(((Volatilities_Resets!$M6-Volatilities_Resets!$K6)/50)*((Calculator!AB17-Calculator!AD$4)*10000)+Volatilities_Resets!$K6)),IF(AB17&gt;=AD$3,IF(AB17&lt;AE$3,(((Volatilities_Resets!$K6-Volatilities_Resets!$I6)/50)*((Calculator!AB17-Calculator!AD$3)*10000)+Volatilities_Resets!$I6)),IF(AB17&gt;=AD$2,IF(AB17&lt;AE$2,(((Volatilities_Resets!$I6-Volatilities_Resets!$G6)/50)*((Calculator!AB17-Calculator!AD$2)*10000)+Volatilities_Resets!$G6)),"Well, something broke...")))))))))))/10000</f>
        <v>1.8082000000000001E-2</v>
      </c>
      <c r="AE17" s="63">
        <f t="shared" ca="1" si="24"/>
        <v>49428.013041229678</v>
      </c>
      <c r="AF17" s="63">
        <f t="shared" ca="1" si="25"/>
        <v>1.9771715103409169E-3</v>
      </c>
      <c r="AG17" s="63">
        <f ca="1">AG16+AE17</f>
        <v>147892.47674651074</v>
      </c>
      <c r="AJ17" s="63">
        <f t="shared" ca="1" si="26"/>
        <v>1.2575591836077322</v>
      </c>
      <c r="AK17" s="63">
        <f ca="1">SUM($AJ$15:AJ17)</f>
        <v>1.5061490864210534</v>
      </c>
      <c r="AM17" s="52">
        <f ca="1">EXP(-AVERAGE(AC$15:AC17)*Z17)</f>
        <v>0.98653967454038594</v>
      </c>
      <c r="AO17" s="52">
        <f t="shared" ca="1" si="27"/>
        <v>3</v>
      </c>
      <c r="AP17" s="71">
        <f ca="1">EDATE(AP16,1)</f>
        <v>45252</v>
      </c>
      <c r="AQ17" s="71">
        <f t="shared" ca="1" si="5"/>
        <v>45282</v>
      </c>
      <c r="AR17" s="72">
        <f t="shared" ca="1" si="6"/>
        <v>30</v>
      </c>
      <c r="AS17" s="73">
        <f ca="1">SUM(AR$15:AR17)/360</f>
        <v>0.25277777777777777</v>
      </c>
      <c r="AT17" s="74">
        <f t="shared" si="7"/>
        <v>25000000</v>
      </c>
      <c r="AU17" s="59">
        <f t="shared" si="29"/>
        <v>0.04</v>
      </c>
      <c r="AV17" s="57">
        <f>Volatilities_Resets!$E6*0.01</f>
        <v>5.4037600000000005E-2</v>
      </c>
      <c r="AW17" s="61">
        <f>IF(AU17=AX$11,Volatilities_Resets!$AA6,IF(AU17&gt;=AW$11,IF(AU17&lt;AX$11,(((Volatilities_Resets!$AA6-Volatilities_Resets!$Y6)/50)*((Calculator!AU17-Calculator!AW$11)*10000)+Volatilities_Resets!$Y6)),IF(AU17&gt;=AW$10,IF(AU17&lt;AX$10,(((Volatilities_Resets!$Y6-Volatilities_Resets!$W6)/50)*((Calculator!AU17-Calculator!AW$10)*10000)+Volatilities_Resets!$W6)),IF(AU17&gt;=AW$9,IF(AU17&lt;AX$9,(((Volatilities_Resets!$W6-Volatilities_Resets!$U6)/50)*((Calculator!AU17-Calculator!AW$9)*10000)+Volatilities_Resets!$U6)),IF(AU17&gt;=AW$8,IF(AU17&lt;AX$8,(((Volatilities_Resets!$U6-Volatilities_Resets!$S6)/50)*((Calculator!AU17-Calculator!AW$8)*10000)+Volatilities_Resets!$S6)),IF(AU17&gt;=AW$7,IF(AU17&lt;AX$7,(((Volatilities_Resets!$S6-Volatilities_Resets!$Q6)/50)*((Calculator!AU17-Calculator!AW$7)*10000)+Volatilities_Resets!$Q6)),IF(AU17&gt;=AW$6,IF(AU17&lt;AX$6,(((Volatilities_Resets!$Q6-Volatilities_Resets!$O6)/50)*((Calculator!AU17-Calculator!AW$6)*10000)+Volatilities_Resets!$O6)),IF(AU17&gt;=AW$5,IF(AU17&lt;AX$5,(((Volatilities_Resets!$O6-Volatilities_Resets!$M6)/50)*((Calculator!AU17-Calculator!AW$5)*10000)+Volatilities_Resets!$M6)),IF(AU17&gt;=AW$4,IF(AU17&lt;AX$4,(((Volatilities_Resets!$M6-Volatilities_Resets!$K6)/50)*((Calculator!AU17-Calculator!AW$4)*10000)+Volatilities_Resets!$K6)),IF(AU17&gt;=AW$3,IF(AU17&lt;AX$3,(((Volatilities_Resets!$K6-Volatilities_Resets!$I6)/50)*((Calculator!AU17-Calculator!AW$3)*10000)+Volatilities_Resets!$I6)),IF(AU17&gt;=AW$2,IF(AU17&lt;AX$2,(((Volatilities_Resets!$I6-Volatilities_Resets!$G6)/50)*((Calculator!AU17-Calculator!AW$2)*10000)+Volatilities_Resets!$G6)),"Well, something broke...")))))))))))/10000</f>
        <v>1.3354000000000001E-2</v>
      </c>
      <c r="AX17" s="63">
        <f t="shared" ca="1" si="30"/>
        <v>28942.904700131854</v>
      </c>
      <c r="AY17" s="63">
        <f t="shared" ca="1" si="31"/>
        <v>1.1579045711646386E-3</v>
      </c>
      <c r="AZ17" s="63">
        <f ca="1">AZ16+AX17</f>
        <v>85356.767076384916</v>
      </c>
      <c r="BC17" s="63">
        <f t="shared" ca="1" si="8"/>
        <v>4.6461865182062176</v>
      </c>
      <c r="BD17" s="63">
        <f ca="1">SUM($BC$15:BC17)</f>
        <v>6.4697387870430383</v>
      </c>
      <c r="BF17" s="52">
        <f ca="1">EXP(-AVERAGE(AV$15:AV17)*AS17)</f>
        <v>0.98653967454038594</v>
      </c>
      <c r="BH17" s="52">
        <f t="shared" ca="1" si="32"/>
        <v>3</v>
      </c>
      <c r="BI17" s="71">
        <f ca="1">EDATE(BI16,1)</f>
        <v>45252</v>
      </c>
      <c r="BJ17" s="71">
        <f t="shared" ca="1" si="9"/>
        <v>45282</v>
      </c>
      <c r="BK17" s="72">
        <f t="shared" ca="1" si="10"/>
        <v>30</v>
      </c>
      <c r="BL17" s="73">
        <f ca="1">SUM(BK$15:BK17)/360</f>
        <v>0.25277777777777777</v>
      </c>
      <c r="BM17" s="74">
        <f t="shared" si="11"/>
        <v>25000000</v>
      </c>
      <c r="BN17" s="59">
        <f t="shared" si="34"/>
        <v>0.05</v>
      </c>
      <c r="BO17" s="57">
        <f>Volatilities_Resets!$E6*0.01</f>
        <v>5.4037600000000005E-2</v>
      </c>
      <c r="BP17" s="61">
        <f>IF(BN17=BQ$11,Volatilities_Resets!$AA6,IF(BN17&gt;=BP$11,IF(BN17&lt;BQ$11,(((Volatilities_Resets!$AA6-Volatilities_Resets!$Y6)/50)*((Calculator!BN17-Calculator!BP$11)*10000)+Volatilities_Resets!$Y6)),IF(BN17&gt;=BP$10,IF(BN17&lt;BQ$10,(((Volatilities_Resets!$Y6-Volatilities_Resets!$W6)/50)*((Calculator!BN17-Calculator!BP$10)*10000)+Volatilities_Resets!$W6)),IF(BN17&gt;=BP$9,IF(BN17&lt;BQ$9,(((Volatilities_Resets!$W6-Volatilities_Resets!$U6)/50)*((Calculator!BN17-Calculator!BP$9)*10000)+Volatilities_Resets!$U6)),IF(BN17&gt;=BP$8,IF(BN17&lt;BQ$8,(((Volatilities_Resets!$U6-Volatilities_Resets!$S6)/50)*((Calculator!BN17-Calculator!BP$8)*10000)+Volatilities_Resets!$S6)),IF(BN17&gt;=BP$7,IF(BN17&lt;BQ$7,(((Volatilities_Resets!$S6-Volatilities_Resets!$Q6)/50)*((Calculator!BN17-Calculator!BP$7)*10000)+Volatilities_Resets!$Q6)),IF(BN17&gt;=BP$6,IF(BN17&lt;BQ$6,(((Volatilities_Resets!$Q6-Volatilities_Resets!$O6)/50)*((Calculator!BN17-Calculator!BP$6)*10000)+Volatilities_Resets!$O6)),IF(BN17&gt;=BP$5,IF(BN17&lt;BQ$5,(((Volatilities_Resets!$O6-Volatilities_Resets!$M6)/50)*((Calculator!BN17-Calculator!BP$5)*10000)+Volatilities_Resets!$M6)),IF(BN17&gt;=BP$4,IF(BN17&lt;BQ$4,(((Volatilities_Resets!$M6-Volatilities_Resets!$K6)/50)*((Calculator!BN17-Calculator!BP$4)*10000)+Volatilities_Resets!$K6)),IF(BN17&gt;=BP$3,IF(BN17&lt;BQ$3,(((Volatilities_Resets!$K6-Volatilities_Resets!$I6)/50)*((Calculator!BN17-Calculator!BP$3)*10000)+Volatilities_Resets!$I6)),IF(BN17&gt;=BP$2,IF(BN17&lt;BQ$2,(((Volatilities_Resets!$I6-Volatilities_Resets!$G6)/50)*((Calculator!BN17-Calculator!BP$2)*10000)+Volatilities_Resets!$G6)),"Well, something broke...")))))))))))/10000</f>
        <v>9.0279999999999996E-3</v>
      </c>
      <c r="BQ17" s="63">
        <f t="shared" ca="1" si="35"/>
        <v>9253.4716936577424</v>
      </c>
      <c r="BR17" s="63">
        <f t="shared" ca="1" si="36"/>
        <v>3.7125386673715155E-4</v>
      </c>
      <c r="BS17" s="63">
        <f ca="1">BS16+BQ17</f>
        <v>24583.28924528919</v>
      </c>
      <c r="BV17" s="63">
        <f t="shared" ca="1" si="37"/>
        <v>27.499768538449398</v>
      </c>
      <c r="BW17" s="63">
        <f ca="1">SUM($BV$15:BV17)</f>
        <v>61.007436484115857</v>
      </c>
      <c r="BY17" s="52">
        <f ca="1">EXP(-AVERAGE(BO$15:BO17)*BL17)</f>
        <v>0.98653967454038594</v>
      </c>
      <c r="CA17" s="52">
        <f t="shared" ca="1" si="38"/>
        <v>3</v>
      </c>
      <c r="CB17" s="71">
        <f ca="1">EDATE(CB16,1)</f>
        <v>45252</v>
      </c>
      <c r="CC17" s="71">
        <f t="shared" ca="1" si="12"/>
        <v>45282</v>
      </c>
      <c r="CD17" s="72">
        <f t="shared" ca="1" si="13"/>
        <v>30</v>
      </c>
      <c r="CE17" s="73">
        <f ca="1">SUM(CD$15:CD17)/360</f>
        <v>0.25277777777777777</v>
      </c>
      <c r="CF17" s="74">
        <f t="shared" si="14"/>
        <v>25000000</v>
      </c>
      <c r="CG17" s="59">
        <f t="shared" si="40"/>
        <v>0.06</v>
      </c>
      <c r="CH17" s="57">
        <f>Volatilities_Resets!$E6*0.01</f>
        <v>5.4037600000000005E-2</v>
      </c>
      <c r="CI17" s="61">
        <f>IF(CG17=CJ$11,Volatilities_Resets!$AA6,IF(CG17&gt;=CI$11,IF(CG17&lt;CJ$11,(((Volatilities_Resets!$AA6-Volatilities_Resets!$Y6)/50)*((Calculator!CG17-Calculator!CI$11)*10000)+Volatilities_Resets!$Y6)),IF(CG17&gt;=CI$10,IF(CG17&lt;CJ$10,(((Volatilities_Resets!$Y6-Volatilities_Resets!$W6)/50)*((Calculator!CG17-Calculator!CI$10)*10000)+Volatilities_Resets!$W6)),IF(CG17&gt;=CI$9,IF(CG17&lt;CJ$9,(((Volatilities_Resets!$W6-Volatilities_Resets!$U6)/50)*((Calculator!CG17-Calculator!CI$9)*10000)+Volatilities_Resets!$U6)),IF(CG17&gt;=CI$8,IF(CG17&lt;CJ$8,(((Volatilities_Resets!$U6-Volatilities_Resets!$S6)/50)*((Calculator!CG17-Calculator!CI$8)*10000)+Volatilities_Resets!$S6)),IF(CG17&gt;=CI$7,IF(CG17&lt;CJ$7,(((Volatilities_Resets!$S6-Volatilities_Resets!$Q6)/50)*((Calculator!CG17-Calculator!CI$7)*10000)+Volatilities_Resets!$Q6)),IF(CG17&gt;=CI$6,IF(CG17&lt;CJ$6,(((Volatilities_Resets!$Q6-Volatilities_Resets!$O6)/50)*((Calculator!CG17-Calculator!CI$6)*10000)+Volatilities_Resets!$O6)),IF(CG17&gt;=CI$5,IF(CG17&lt;CJ$5,(((Volatilities_Resets!$O6-Volatilities_Resets!$M6)/50)*((Calculator!CG17-Calculator!CI$5)*10000)+Volatilities_Resets!$M6)),IF(CG17&gt;=CI$4,IF(CG17&lt;CJ$4,(((Volatilities_Resets!$M6-Volatilities_Resets!$K6)/50)*((Calculator!CG17-Calculator!CI$4)*10000)+Volatilities_Resets!$K6)),IF(CG17&gt;=CI$3,IF(CG17&lt;CJ$3,(((Volatilities_Resets!$K6-Volatilities_Resets!$I6)/50)*((Calculator!CG17-Calculator!CI$3)*10000)+Volatilities_Resets!$I6)),IF(CG17&gt;=CI$2,IF(CG17&lt;CJ$2,(((Volatilities_Resets!$I6-Volatilities_Resets!$G6)/50)*((Calculator!CG17-Calculator!CI$2)*10000)+Volatilities_Resets!$G6)),"Well, something broke...")))))))))))/10000</f>
        <v>6.8590000000000005E-3</v>
      </c>
      <c r="CJ17" s="63">
        <f t="shared" ca="1" si="41"/>
        <v>120.73837292926193</v>
      </c>
      <c r="CK17" s="63">
        <f t="shared" ca="1" si="42"/>
        <v>5.2074874299322162E-6</v>
      </c>
      <c r="CL17" s="63">
        <f ca="1">CL16+CJ17</f>
        <v>144.81542435124453</v>
      </c>
      <c r="CO17" s="63">
        <f t="shared" ca="1" si="43"/>
        <v>9.3216287232921875</v>
      </c>
      <c r="CP17" s="63">
        <f ca="1">SUM($CO$15:CO17)</f>
        <v>12.114111677521333</v>
      </c>
      <c r="CR17" s="52">
        <f ca="1">EXP(-AVERAGE(CH$15:CH17)*CE17)</f>
        <v>0.98653967454038594</v>
      </c>
      <c r="CT17"/>
      <c r="CU17"/>
      <c r="CV17"/>
      <c r="CW17"/>
      <c r="CX17"/>
      <c r="CY17"/>
      <c r="CZ17"/>
      <c r="DA17"/>
      <c r="DB17"/>
      <c r="DC17"/>
      <c r="DD17"/>
      <c r="DE17"/>
      <c r="DF17"/>
      <c r="DG17"/>
      <c r="DH17"/>
      <c r="DI17"/>
      <c r="DJ17"/>
      <c r="DK17"/>
      <c r="DL17"/>
    </row>
    <row r="18" spans="2:116" ht="15.75" customHeight="1" x14ac:dyDescent="0.2">
      <c r="B18" s="52">
        <v>1</v>
      </c>
      <c r="C18" s="52">
        <f t="shared" ca="1" si="15"/>
        <v>4</v>
      </c>
      <c r="D18" s="71">
        <f t="shared" ca="1" si="16"/>
        <v>45282</v>
      </c>
      <c r="E18" s="71">
        <f t="shared" ca="1" si="0"/>
        <v>45313</v>
      </c>
      <c r="F18" s="72">
        <f t="shared" ca="1" si="1"/>
        <v>31</v>
      </c>
      <c r="G18" s="73">
        <f ca="1">SUM($F$15:F18)/360</f>
        <v>0.33888888888888891</v>
      </c>
      <c r="H18" s="74">
        <f t="shared" si="2"/>
        <v>25000000</v>
      </c>
      <c r="I18" s="59">
        <f>IF('Cap Pricer'!$E$22=DataValidation!$C$2,'Cap Pricer'!$E$23,IF('Cap Pricer'!$E$22=DataValidation!$C$3,VLOOKUP($B18,'Cap Pricer'!$C$25:$E$31,3),""))</f>
        <v>0.02</v>
      </c>
      <c r="J18" s="57">
        <f>Volatilities_Resets!$E7*0.01</f>
        <v>5.4433000000000002E-2</v>
      </c>
      <c r="K18" s="61">
        <f>IF(I18=L$11,Volatilities_Resets!$AA7,IF(I18&gt;=K$11,IF(I18&lt;L$11,(((Volatilities_Resets!$AA7-Volatilities_Resets!$Y7)/50)*((Calculator!I18-Calculator!K$11)*10000)+Volatilities_Resets!$Y7)),IF(I18&gt;=K$10,IF(I18&lt;L$10,(((Volatilities_Resets!$Y7-Volatilities_Resets!$W7)/50)*((Calculator!I18-Calculator!K$10)*10000)+Volatilities_Resets!$W7)),IF(I18&gt;=K$9,IF(I18&lt;L$9,(((Volatilities_Resets!$W7-Volatilities_Resets!$U7)/50)*((Calculator!I18-Calculator!K$9)*10000)+Volatilities_Resets!$U7)),IF(I18&gt;=K$8,IF(I18&lt;L$8,(((Volatilities_Resets!$U7-Volatilities_Resets!$S7)/50)*((Calculator!I18-Calculator!K$8)*10000)+Volatilities_Resets!$S7)),IF(I18&gt;=K$7,IF(I18&lt;L$7,(((Volatilities_Resets!$S7-Volatilities_Resets!$Q7)/50)*((Calculator!I18-Calculator!K$7)*10000)+Volatilities_Resets!$Q7)),IF(I18&gt;=K$6,IF(I18&lt;L$6,(((Volatilities_Resets!$Q7-Volatilities_Resets!$O7)/50)*((Calculator!I18-Calculator!K$6)*10000)+Volatilities_Resets!$O7)),IF(I18&gt;=K$5,IF(I18&lt;L$5,(((Volatilities_Resets!$O7-Volatilities_Resets!$M7)/50)*((Calculator!I18-Calculator!K$5)*10000)+Volatilities_Resets!$M7)),IF(I18&gt;=K$4,IF(I18&lt;L$4,(((Volatilities_Resets!$M7-Volatilities_Resets!$K7)/50)*((Calculator!I18-Calculator!K$4)*10000)+Volatilities_Resets!$K7)),IF(I18&gt;=K$3,IF(I18&lt;L$3,(((Volatilities_Resets!$K7-Volatilities_Resets!$I7)/50)*((Calculator!I18-Calculator!K$3)*10000)+Volatilities_Resets!$I7)),IF(I18&gt;=K$2,IF(I18&lt;L$2,(((Volatilities_Resets!$I7-Volatilities_Resets!$G7)/50)*((Calculator!I18-Calculator!K$2)*10000)+Volatilities_Resets!$G7)),"Well, something broke...")))))))))))/10000</f>
        <v>2.2044000000000001E-2</v>
      </c>
      <c r="L18" s="47">
        <f t="shared" ca="1" si="17"/>
        <v>72817.314549036018</v>
      </c>
      <c r="M18" s="63">
        <f t="shared" ca="1" si="18"/>
        <v>2.9127471290483846E-3</v>
      </c>
      <c r="N18" s="63">
        <f t="shared" ref="N18:N74" ca="1" si="44">N17+L18</f>
        <v>283317.24973808852</v>
      </c>
      <c r="Q18" s="63">
        <f t="shared" ca="1" si="19"/>
        <v>1.3390320115726202</v>
      </c>
      <c r="R18" s="63">
        <f ca="1">SUM($Q$15:Q18)</f>
        <v>1.7258366546783976</v>
      </c>
      <c r="T18" s="52">
        <f ca="1">EXP(-AVERAGE(J$15:J18)*G18)</f>
        <v>0.98192742204189565</v>
      </c>
      <c r="U18" s="57"/>
      <c r="V18" s="52">
        <f t="shared" ca="1" si="20"/>
        <v>4</v>
      </c>
      <c r="W18" s="71">
        <f t="shared" ca="1" si="21"/>
        <v>45282</v>
      </c>
      <c r="X18" s="71">
        <f t="shared" ca="1" si="3"/>
        <v>45313</v>
      </c>
      <c r="Y18" s="72">
        <f t="shared" ca="1" si="4"/>
        <v>31</v>
      </c>
      <c r="Z18" s="73">
        <f ca="1">SUM(Y$15:Y18)/360</f>
        <v>0.33888888888888891</v>
      </c>
      <c r="AA18" s="74">
        <f t="shared" si="22"/>
        <v>25000000</v>
      </c>
      <c r="AB18" s="59">
        <f t="shared" si="23"/>
        <v>0.03</v>
      </c>
      <c r="AC18" s="57">
        <f>Volatilities_Resets!$E7*0.01</f>
        <v>5.4433000000000002E-2</v>
      </c>
      <c r="AD18" s="61">
        <f>IF(AB18=AE$11,Volatilities_Resets!$AA7,IF(AB18&gt;=AD$11,IF(AB18&lt;AE$11,(((Volatilities_Resets!$AA7-Volatilities_Resets!$Y7)/50)*((Calculator!AB18-Calculator!AD$11)*10000)+Volatilities_Resets!$Y7)),IF(AB18&gt;=AD$10,IF(AB18&lt;AE$10,(((Volatilities_Resets!$Y7-Volatilities_Resets!$W7)/50)*((Calculator!AB18-Calculator!AD$10)*10000)+Volatilities_Resets!$W7)),IF(AB18&gt;=AD$9,IF(AB18&lt;AE$9,(((Volatilities_Resets!$W7-Volatilities_Resets!$U7)/50)*((Calculator!AB18-Calculator!AD$9)*10000)+Volatilities_Resets!$U7)),IF(AB18&gt;=AD$8,IF(AB18&lt;AE$8,(((Volatilities_Resets!$U7-Volatilities_Resets!$S7)/50)*((Calculator!AB18-Calculator!AD$8)*10000)+Volatilities_Resets!$S7)),IF(AB18&gt;=AD$7,IF(AB18&lt;AE$7,(((Volatilities_Resets!$S7-Volatilities_Resets!$Q7)/50)*((Calculator!AB18-Calculator!AD$7)*10000)+Volatilities_Resets!$Q7)),IF(AB18&gt;=AD$6,IF(AB18&lt;AE$6,(((Volatilities_Resets!$Q7-Volatilities_Resets!$O7)/50)*((Calculator!AB18-Calculator!AD$6)*10000)+Volatilities_Resets!$O7)),IF(AB18&gt;=AD$5,IF(AB18&lt;AE$5,(((Volatilities_Resets!$O7-Volatilities_Resets!$M7)/50)*((Calculator!AB18-Calculator!AD$5)*10000)+Volatilities_Resets!$M7)),IF(AB18&gt;=AD$4,IF(AB18&lt;AE$4,(((Volatilities_Resets!$M7-Volatilities_Resets!$K7)/50)*((Calculator!AB18-Calculator!AD$4)*10000)+Volatilities_Resets!$K7)),IF(AB18&gt;=AD$3,IF(AB18&lt;AE$3,(((Volatilities_Resets!$K7-Volatilities_Resets!$I7)/50)*((Calculator!AB18-Calculator!AD$3)*10000)+Volatilities_Resets!$I7)),IF(AB18&gt;=AD$2,IF(AB18&lt;AE$2,(((Volatilities_Resets!$I7-Volatilities_Resets!$G7)/50)*((Calculator!AB18-Calculator!AD$2)*10000)+Volatilities_Resets!$G7)),"Well, something broke...")))))))))))/10000</f>
        <v>1.823E-2</v>
      </c>
      <c r="AE18" s="63">
        <f t="shared" ca="1" si="24"/>
        <v>51729.813673599019</v>
      </c>
      <c r="AF18" s="63">
        <f t="shared" ca="1" si="25"/>
        <v>2.0693332704471651E-3</v>
      </c>
      <c r="AG18" s="63">
        <f t="shared" ref="AG18:AG81" ca="1" si="45">AG17+AE18</f>
        <v>199622.29042010976</v>
      </c>
      <c r="AJ18" s="63">
        <f t="shared" ca="1" si="26"/>
        <v>3.4545066680558048</v>
      </c>
      <c r="AK18" s="63">
        <f ca="1">SUM($AJ$15:AJ18)</f>
        <v>4.9606557544768579</v>
      </c>
      <c r="AM18" s="52">
        <f ca="1">EXP(-AVERAGE(AC$15:AC18)*Z18)</f>
        <v>0.98192742204189565</v>
      </c>
      <c r="AO18" s="52">
        <f t="shared" ca="1" si="27"/>
        <v>4</v>
      </c>
      <c r="AP18" s="71">
        <f t="shared" ca="1" si="28"/>
        <v>45282</v>
      </c>
      <c r="AQ18" s="71">
        <f t="shared" ca="1" si="5"/>
        <v>45313</v>
      </c>
      <c r="AR18" s="72">
        <f t="shared" ca="1" si="6"/>
        <v>31</v>
      </c>
      <c r="AS18" s="73">
        <f ca="1">SUM(AR$15:AR18)/360</f>
        <v>0.33888888888888891</v>
      </c>
      <c r="AT18" s="74">
        <f t="shared" si="7"/>
        <v>25000000</v>
      </c>
      <c r="AU18" s="59">
        <f t="shared" si="29"/>
        <v>0.04</v>
      </c>
      <c r="AV18" s="57">
        <f>Volatilities_Resets!$E7*0.01</f>
        <v>5.4433000000000002E-2</v>
      </c>
      <c r="AW18" s="61">
        <f>IF(AU18=AX$11,Volatilities_Resets!$AA7,IF(AU18&gt;=AW$11,IF(AU18&lt;AX$11,(((Volatilities_Resets!$AA7-Volatilities_Resets!$Y7)/50)*((Calculator!AU18-Calculator!AW$11)*10000)+Volatilities_Resets!$Y7)),IF(AU18&gt;=AW$10,IF(AU18&lt;AX$10,(((Volatilities_Resets!$Y7-Volatilities_Resets!$W7)/50)*((Calculator!AU18-Calculator!AW$10)*10000)+Volatilities_Resets!$W7)),IF(AU18&gt;=AW$9,IF(AU18&lt;AX$9,(((Volatilities_Resets!$W7-Volatilities_Resets!$U7)/50)*((Calculator!AU18-Calculator!AW$9)*10000)+Volatilities_Resets!$U7)),IF(AU18&gt;=AW$8,IF(AU18&lt;AX$8,(((Volatilities_Resets!$U7-Volatilities_Resets!$S7)/50)*((Calculator!AU18-Calculator!AW$8)*10000)+Volatilities_Resets!$S7)),IF(AU18&gt;=AW$7,IF(AU18&lt;AX$7,(((Volatilities_Resets!$S7-Volatilities_Resets!$Q7)/50)*((Calculator!AU18-Calculator!AW$7)*10000)+Volatilities_Resets!$Q7)),IF(AU18&gt;=AW$6,IF(AU18&lt;AX$6,(((Volatilities_Resets!$Q7-Volatilities_Resets!$O7)/50)*((Calculator!AU18-Calculator!AW$6)*10000)+Volatilities_Resets!$O7)),IF(AU18&gt;=AW$5,IF(AU18&lt;AX$5,(((Volatilities_Resets!$O7-Volatilities_Resets!$M7)/50)*((Calculator!AU18-Calculator!AW$5)*10000)+Volatilities_Resets!$M7)),IF(AU18&gt;=AW$4,IF(AU18&lt;AX$4,(((Volatilities_Resets!$M7-Volatilities_Resets!$K7)/50)*((Calculator!AU18-Calculator!AW$4)*10000)+Volatilities_Resets!$K7)),IF(AU18&gt;=AW$3,IF(AU18&lt;AX$3,(((Volatilities_Resets!$K7-Volatilities_Resets!$I7)/50)*((Calculator!AU18-Calculator!AW$3)*10000)+Volatilities_Resets!$I7)),IF(AU18&gt;=AW$2,IF(AU18&lt;AX$2,(((Volatilities_Resets!$I7-Volatilities_Resets!$G7)/50)*((Calculator!AU18-Calculator!AW$2)*10000)+Volatilities_Resets!$G7)),"Well, something broke...")))))))))))/10000</f>
        <v>1.3507999999999999E-2</v>
      </c>
      <c r="AX18" s="63">
        <f t="shared" ca="1" si="30"/>
        <v>30726.452632463872</v>
      </c>
      <c r="AY18" s="63">
        <f t="shared" ca="1" si="31"/>
        <v>1.2294270326076362E-3</v>
      </c>
      <c r="AZ18" s="63">
        <f t="shared" ref="AZ18:AZ81" ca="1" si="46">AZ17+AX18</f>
        <v>116083.21970884879</v>
      </c>
      <c r="BC18" s="63">
        <f t="shared" ca="1" si="8"/>
        <v>9.056496038174922</v>
      </c>
      <c r="BD18" s="63">
        <f ca="1">SUM($BC$15:BC18)</f>
        <v>15.52623482521796</v>
      </c>
      <c r="BF18" s="52">
        <f ca="1">EXP(-AVERAGE(AV$15:AV18)*AS18)</f>
        <v>0.98192742204189565</v>
      </c>
      <c r="BH18" s="52">
        <f t="shared" ca="1" si="32"/>
        <v>4</v>
      </c>
      <c r="BI18" s="71">
        <f t="shared" ca="1" si="33"/>
        <v>45282</v>
      </c>
      <c r="BJ18" s="71">
        <f t="shared" ca="1" si="9"/>
        <v>45313</v>
      </c>
      <c r="BK18" s="72">
        <f t="shared" ca="1" si="10"/>
        <v>31</v>
      </c>
      <c r="BL18" s="73">
        <f ca="1">SUM(BK$15:BK18)/360</f>
        <v>0.33888888888888891</v>
      </c>
      <c r="BM18" s="74">
        <f t="shared" si="11"/>
        <v>25000000</v>
      </c>
      <c r="BN18" s="59">
        <f t="shared" si="34"/>
        <v>0.05</v>
      </c>
      <c r="BO18" s="57">
        <f>Volatilities_Resets!$E7*0.01</f>
        <v>5.4433000000000002E-2</v>
      </c>
      <c r="BP18" s="61">
        <f>IF(BN18=BQ$11,Volatilities_Resets!$AA7,IF(BN18&gt;=BP$11,IF(BN18&lt;BQ$11,(((Volatilities_Resets!$AA7-Volatilities_Resets!$Y7)/50)*((Calculator!BN18-Calculator!BP$11)*10000)+Volatilities_Resets!$Y7)),IF(BN18&gt;=BP$10,IF(BN18&lt;BQ$10,(((Volatilities_Resets!$Y7-Volatilities_Resets!$W7)/50)*((Calculator!BN18-Calculator!BP$10)*10000)+Volatilities_Resets!$W7)),IF(BN18&gt;=BP$9,IF(BN18&lt;BQ$9,(((Volatilities_Resets!$W7-Volatilities_Resets!$U7)/50)*((Calculator!BN18-Calculator!BP$9)*10000)+Volatilities_Resets!$U7)),IF(BN18&gt;=BP$8,IF(BN18&lt;BQ$8,(((Volatilities_Resets!$U7-Volatilities_Resets!$S7)/50)*((Calculator!BN18-Calculator!BP$8)*10000)+Volatilities_Resets!$S7)),IF(BN18&gt;=BP$7,IF(BN18&lt;BQ$7,(((Volatilities_Resets!$S7-Volatilities_Resets!$Q7)/50)*((Calculator!BN18-Calculator!BP$7)*10000)+Volatilities_Resets!$Q7)),IF(BN18&gt;=BP$6,IF(BN18&lt;BQ$6,(((Volatilities_Resets!$Q7-Volatilities_Resets!$O7)/50)*((Calculator!BN18-Calculator!BP$6)*10000)+Volatilities_Resets!$O7)),IF(BN18&gt;=BP$5,IF(BN18&lt;BQ$5,(((Volatilities_Resets!$O7-Volatilities_Resets!$M7)/50)*((Calculator!BN18-Calculator!BP$5)*10000)+Volatilities_Resets!$M7)),IF(BN18&gt;=BP$4,IF(BN18&lt;BQ$4,(((Volatilities_Resets!$M7-Volatilities_Resets!$K7)/50)*((Calculator!BN18-Calculator!BP$4)*10000)+Volatilities_Resets!$K7)),IF(BN18&gt;=BP$3,IF(BN18&lt;BQ$3,(((Volatilities_Resets!$K7-Volatilities_Resets!$I7)/50)*((Calculator!BN18-Calculator!BP$3)*10000)+Volatilities_Resets!$I7)),IF(BN18&gt;=BP$2,IF(BN18&lt;BQ$2,(((Volatilities_Resets!$I7-Volatilities_Resets!$G7)/50)*((Calculator!BN18-Calculator!BP$2)*10000)+Volatilities_Resets!$G7)),"Well, something broke...")))))))))))/10000</f>
        <v>9.1659999999999988E-3</v>
      </c>
      <c r="BQ18" s="63">
        <f t="shared" ca="1" si="35"/>
        <v>10654.630489515408</v>
      </c>
      <c r="BR18" s="63">
        <f t="shared" ca="1" si="36"/>
        <v>4.2758100792523258E-4</v>
      </c>
      <c r="BS18" s="63">
        <f t="shared" ref="BS18:BS81" ca="1" si="47">BS17+BQ18</f>
        <v>35237.9197348046</v>
      </c>
      <c r="BV18" s="63">
        <f t="shared" ca="1" si="37"/>
        <v>34.264071273629419</v>
      </c>
      <c r="BW18" s="63">
        <f ca="1">SUM($BV$15:BV18)</f>
        <v>95.271507757745269</v>
      </c>
      <c r="BY18" s="52">
        <f ca="1">EXP(-AVERAGE(BO$15:BO18)*BL18)</f>
        <v>0.98192742204189565</v>
      </c>
      <c r="CA18" s="52">
        <f t="shared" ca="1" si="38"/>
        <v>4</v>
      </c>
      <c r="CB18" s="71">
        <f t="shared" ca="1" si="39"/>
        <v>45282</v>
      </c>
      <c r="CC18" s="71">
        <f t="shared" ca="1" si="12"/>
        <v>45313</v>
      </c>
      <c r="CD18" s="72">
        <f t="shared" ca="1" si="13"/>
        <v>31</v>
      </c>
      <c r="CE18" s="73">
        <f ca="1">SUM(CD$15:CD18)/360</f>
        <v>0.33888888888888891</v>
      </c>
      <c r="CF18" s="74">
        <f t="shared" si="14"/>
        <v>25000000</v>
      </c>
      <c r="CG18" s="59">
        <f t="shared" si="40"/>
        <v>0.06</v>
      </c>
      <c r="CH18" s="57">
        <f>Volatilities_Resets!$E7*0.01</f>
        <v>5.4433000000000002E-2</v>
      </c>
      <c r="CI18" s="61">
        <f>IF(CG18=CJ$11,Volatilities_Resets!$AA7,IF(CG18&gt;=CI$11,IF(CG18&lt;CJ$11,(((Volatilities_Resets!$AA7-Volatilities_Resets!$Y7)/50)*((Calculator!CG18-Calculator!CI$11)*10000)+Volatilities_Resets!$Y7)),IF(CG18&gt;=CI$10,IF(CG18&lt;CJ$10,(((Volatilities_Resets!$Y7-Volatilities_Resets!$W7)/50)*((Calculator!CG18-Calculator!CI$10)*10000)+Volatilities_Resets!$W7)),IF(CG18&gt;=CI$9,IF(CG18&lt;CJ$9,(((Volatilities_Resets!$W7-Volatilities_Resets!$U7)/50)*((Calculator!CG18-Calculator!CI$9)*10000)+Volatilities_Resets!$U7)),IF(CG18&gt;=CI$8,IF(CG18&lt;CJ$8,(((Volatilities_Resets!$U7-Volatilities_Resets!$S7)/50)*((Calculator!CG18-Calculator!CI$8)*10000)+Volatilities_Resets!$S7)),IF(CG18&gt;=CI$7,IF(CG18&lt;CJ$7,(((Volatilities_Resets!$S7-Volatilities_Resets!$Q7)/50)*((Calculator!CG18-Calculator!CI$7)*10000)+Volatilities_Resets!$Q7)),IF(CG18&gt;=CI$6,IF(CG18&lt;CJ$6,(((Volatilities_Resets!$Q7-Volatilities_Resets!$O7)/50)*((Calculator!CG18-Calculator!CI$6)*10000)+Volatilities_Resets!$O7)),IF(CG18&gt;=CI$5,IF(CG18&lt;CJ$5,(((Volatilities_Resets!$O7-Volatilities_Resets!$M7)/50)*((Calculator!CG18-Calculator!CI$5)*10000)+Volatilities_Resets!$M7)),IF(CG18&gt;=CI$4,IF(CG18&lt;CJ$4,(((Volatilities_Resets!$M7-Volatilities_Resets!$K7)/50)*((Calculator!CG18-Calculator!CI$4)*10000)+Volatilities_Resets!$K7)),IF(CG18&gt;=CI$3,IF(CG18&lt;CJ$3,(((Volatilities_Resets!$K7-Volatilities_Resets!$I7)/50)*((Calculator!CG18-Calculator!CI$3)*10000)+Volatilities_Resets!$I7)),IF(CG18&gt;=CI$2,IF(CG18&lt;CJ$2,(((Volatilities_Resets!$I7-Volatilities_Resets!$G7)/50)*((Calculator!CG18-Calculator!CI$2)*10000)+Volatilities_Resets!$G7)),"Well, something broke...")))))))))))/10000</f>
        <v>6.8519999999999996E-3</v>
      </c>
      <c r="CJ18" s="63">
        <f t="shared" ca="1" si="41"/>
        <v>312.15844103507328</v>
      </c>
      <c r="CK18" s="63">
        <f t="shared" ca="1" si="42"/>
        <v>1.3238324260164158E-5</v>
      </c>
      <c r="CL18" s="63">
        <f t="shared" ref="CL18:CL81" ca="1" si="48">CL17+CJ18</f>
        <v>456.97386538631781</v>
      </c>
      <c r="CO18" s="63">
        <f t="shared" ca="1" si="43"/>
        <v>18.459907049255314</v>
      </c>
      <c r="CP18" s="63">
        <f ca="1">SUM($CO$15:CO18)</f>
        <v>30.574018726776647</v>
      </c>
      <c r="CR18" s="52">
        <f ca="1">EXP(-AVERAGE(CH$15:CH18)*CE18)</f>
        <v>0.98192742204189565</v>
      </c>
      <c r="CT18"/>
      <c r="CU18"/>
      <c r="CV18"/>
      <c r="CW18"/>
      <c r="CX18"/>
      <c r="CY18"/>
      <c r="CZ18"/>
      <c r="DA18"/>
      <c r="DB18"/>
      <c r="DC18"/>
      <c r="DD18"/>
      <c r="DE18"/>
      <c r="DF18"/>
      <c r="DG18"/>
      <c r="DH18"/>
      <c r="DI18"/>
      <c r="DJ18"/>
      <c r="DK18"/>
      <c r="DL18"/>
    </row>
    <row r="19" spans="2:116" ht="15.75" customHeight="1" x14ac:dyDescent="0.2">
      <c r="B19" s="52">
        <v>1</v>
      </c>
      <c r="C19" s="52">
        <f t="shared" ca="1" si="15"/>
        <v>5</v>
      </c>
      <c r="D19" s="71">
        <f t="shared" ca="1" si="16"/>
        <v>45313</v>
      </c>
      <c r="E19" s="71">
        <f t="shared" ca="1" si="0"/>
        <v>45344</v>
      </c>
      <c r="F19" s="72">
        <f t="shared" ca="1" si="1"/>
        <v>31</v>
      </c>
      <c r="G19" s="73">
        <f ca="1">SUM($F$15:F19)/360</f>
        <v>0.42499999999999999</v>
      </c>
      <c r="H19" s="74">
        <f t="shared" si="2"/>
        <v>25000000</v>
      </c>
      <c r="I19" s="59">
        <f>IF('Cap Pricer'!$E$22=DataValidation!$C$2,'Cap Pricer'!$E$23,IF('Cap Pricer'!$E$22=DataValidation!$C$3,VLOOKUP($B19,'Cap Pricer'!$C$25:$E$31,3),""))</f>
        <v>0.02</v>
      </c>
      <c r="J19" s="57">
        <f>Volatilities_Resets!$E8*0.01</f>
        <v>5.4416900000000004E-2</v>
      </c>
      <c r="K19" s="61">
        <f>IF(I19=L$11,Volatilities_Resets!$AA8,IF(I19&gt;=K$11,IF(I19&lt;L$11,(((Volatilities_Resets!$AA8-Volatilities_Resets!$Y8)/50)*((Calculator!I19-Calculator!K$11)*10000)+Volatilities_Resets!$Y8)),IF(I19&gt;=K$10,IF(I19&lt;L$10,(((Volatilities_Resets!$Y8-Volatilities_Resets!$W8)/50)*((Calculator!I19-Calculator!K$10)*10000)+Volatilities_Resets!$W8)),IF(I19&gt;=K$9,IF(I19&lt;L$9,(((Volatilities_Resets!$W8-Volatilities_Resets!$U8)/50)*((Calculator!I19-Calculator!K$9)*10000)+Volatilities_Resets!$U8)),IF(I19&gt;=K$8,IF(I19&lt;L$8,(((Volatilities_Resets!$U8-Volatilities_Resets!$S8)/50)*((Calculator!I19-Calculator!K$8)*10000)+Volatilities_Resets!$S8)),IF(I19&gt;=K$7,IF(I19&lt;L$7,(((Volatilities_Resets!$S8-Volatilities_Resets!$Q8)/50)*((Calculator!I19-Calculator!K$7)*10000)+Volatilities_Resets!$Q8)),IF(I19&gt;=K$6,IF(I19&lt;L$6,(((Volatilities_Resets!$Q8-Volatilities_Resets!$O8)/50)*((Calculator!I19-Calculator!K$6)*10000)+Volatilities_Resets!$O8)),IF(I19&gt;=K$5,IF(I19&lt;L$5,(((Volatilities_Resets!$O8-Volatilities_Resets!$M8)/50)*((Calculator!I19-Calculator!K$5)*10000)+Volatilities_Resets!$M8)),IF(I19&gt;=K$4,IF(I19&lt;L$4,(((Volatilities_Resets!$M8-Volatilities_Resets!$K8)/50)*((Calculator!I19-Calculator!K$4)*10000)+Volatilities_Resets!$K8)),IF(I19&gt;=K$3,IF(I19&lt;L$3,(((Volatilities_Resets!$K8-Volatilities_Resets!$I8)/50)*((Calculator!I19-Calculator!K$3)*10000)+Volatilities_Resets!$I8)),IF(I19&gt;=K$2,IF(I19&lt;L$2,(((Volatilities_Resets!$I8-Volatilities_Resets!$G8)/50)*((Calculator!I19-Calculator!K$2)*10000)+Volatilities_Resets!$G8)),"Well, something broke...")))))))))))/10000</f>
        <v>2.2161E-2</v>
      </c>
      <c r="L19" s="47">
        <f t="shared" ca="1" si="17"/>
        <v>72500.061742420861</v>
      </c>
      <c r="M19" s="63">
        <f t="shared" ca="1" si="18"/>
        <v>2.9001323122231385E-3</v>
      </c>
      <c r="N19" s="63">
        <f t="shared" ca="1" si="44"/>
        <v>355817.31148050935</v>
      </c>
      <c r="Q19" s="63">
        <f t="shared" ca="1" si="19"/>
        <v>3.172499653729473</v>
      </c>
      <c r="R19" s="63">
        <f ca="1">SUM($Q$15:Q19)</f>
        <v>4.8983363084078704</v>
      </c>
      <c r="T19" s="52">
        <f ca="1">EXP(-AVERAGE(J$15:J19)*G19)</f>
        <v>0.97733762397653223</v>
      </c>
      <c r="U19" s="57"/>
      <c r="V19" s="52">
        <f t="shared" ca="1" si="20"/>
        <v>5</v>
      </c>
      <c r="W19" s="71">
        <f t="shared" ca="1" si="21"/>
        <v>45313</v>
      </c>
      <c r="X19" s="71">
        <f t="shared" ca="1" si="3"/>
        <v>45344</v>
      </c>
      <c r="Y19" s="72">
        <f t="shared" ca="1" si="4"/>
        <v>31</v>
      </c>
      <c r="Z19" s="73">
        <f ca="1">SUM(Y$15:Y19)/360</f>
        <v>0.42499999999999999</v>
      </c>
      <c r="AA19" s="74">
        <f t="shared" si="22"/>
        <v>25000000</v>
      </c>
      <c r="AB19" s="59">
        <f t="shared" si="23"/>
        <v>0.03</v>
      </c>
      <c r="AC19" s="57">
        <f>Volatilities_Resets!$E8*0.01</f>
        <v>5.4416900000000004E-2</v>
      </c>
      <c r="AD19" s="61">
        <f>IF(AB19=AE$11,Volatilities_Resets!$AA8,IF(AB19&gt;=AD$11,IF(AB19&lt;AE$11,(((Volatilities_Resets!$AA8-Volatilities_Resets!$Y8)/50)*((Calculator!AB19-Calculator!AD$11)*10000)+Volatilities_Resets!$Y8)),IF(AB19&gt;=AD$10,IF(AB19&lt;AE$10,(((Volatilities_Resets!$Y8-Volatilities_Resets!$W8)/50)*((Calculator!AB19-Calculator!AD$10)*10000)+Volatilities_Resets!$W8)),IF(AB19&gt;=AD$9,IF(AB19&lt;AE$9,(((Volatilities_Resets!$W8-Volatilities_Resets!$U8)/50)*((Calculator!AB19-Calculator!AD$9)*10000)+Volatilities_Resets!$U8)),IF(AB19&gt;=AD$8,IF(AB19&lt;AE$8,(((Volatilities_Resets!$U8-Volatilities_Resets!$S8)/50)*((Calculator!AB19-Calculator!AD$8)*10000)+Volatilities_Resets!$S8)),IF(AB19&gt;=AD$7,IF(AB19&lt;AE$7,(((Volatilities_Resets!$S8-Volatilities_Resets!$Q8)/50)*((Calculator!AB19-Calculator!AD$7)*10000)+Volatilities_Resets!$Q8)),IF(AB19&gt;=AD$6,IF(AB19&lt;AE$6,(((Volatilities_Resets!$Q8-Volatilities_Resets!$O8)/50)*((Calculator!AB19-Calculator!AD$6)*10000)+Volatilities_Resets!$O8)),IF(AB19&gt;=AD$5,IF(AB19&lt;AE$5,(((Volatilities_Resets!$O8-Volatilities_Resets!$M8)/50)*((Calculator!AB19-Calculator!AD$5)*10000)+Volatilities_Resets!$M8)),IF(AB19&gt;=AD$4,IF(AB19&lt;AE$4,(((Volatilities_Resets!$M8-Volatilities_Resets!$K8)/50)*((Calculator!AB19-Calculator!AD$4)*10000)+Volatilities_Resets!$K8)),IF(AB19&gt;=AD$3,IF(AB19&lt;AE$3,(((Volatilities_Resets!$K8-Volatilities_Resets!$I8)/50)*((Calculator!AB19-Calculator!AD$3)*10000)+Volatilities_Resets!$I8)),IF(AB19&gt;=AD$2,IF(AB19&lt;AE$2,(((Volatilities_Resets!$I8-Volatilities_Resets!$G8)/50)*((Calculator!AB19-Calculator!AD$2)*10000)+Volatilities_Resets!$G8)),"Well, something broke...")))))))))))/10000</f>
        <v>1.8353000000000001E-2</v>
      </c>
      <c r="AE19" s="63">
        <f t="shared" ca="1" si="24"/>
        <v>51564.435155823681</v>
      </c>
      <c r="AF19" s="63">
        <f t="shared" ca="1" si="25"/>
        <v>2.0628533223781566E-3</v>
      </c>
      <c r="AG19" s="63">
        <f t="shared" ca="1" si="45"/>
        <v>251186.72557593344</v>
      </c>
      <c r="AJ19" s="63">
        <f t="shared" ca="1" si="26"/>
        <v>6.741580744389946</v>
      </c>
      <c r="AK19" s="63">
        <f ca="1">SUM($AJ$15:AJ19)</f>
        <v>11.702236498866803</v>
      </c>
      <c r="AM19" s="52">
        <f ca="1">EXP(-AVERAGE(AC$15:AC19)*Z19)</f>
        <v>0.97733762397653223</v>
      </c>
      <c r="AO19" s="52">
        <f t="shared" ca="1" si="27"/>
        <v>5</v>
      </c>
      <c r="AP19" s="71">
        <f t="shared" ca="1" si="28"/>
        <v>45313</v>
      </c>
      <c r="AQ19" s="71">
        <f t="shared" ca="1" si="5"/>
        <v>45344</v>
      </c>
      <c r="AR19" s="72">
        <f t="shared" ca="1" si="6"/>
        <v>31</v>
      </c>
      <c r="AS19" s="73">
        <f ca="1">SUM(AR$15:AR19)/360</f>
        <v>0.42499999999999999</v>
      </c>
      <c r="AT19" s="74">
        <f t="shared" si="7"/>
        <v>25000000</v>
      </c>
      <c r="AU19" s="59">
        <f t="shared" si="29"/>
        <v>0.04</v>
      </c>
      <c r="AV19" s="57">
        <f>Volatilities_Resets!$E8*0.01</f>
        <v>5.4416900000000004E-2</v>
      </c>
      <c r="AW19" s="61">
        <f>IF(AU19=AX$11,Volatilities_Resets!$AA8,IF(AU19&gt;=AW$11,IF(AU19&lt;AX$11,(((Volatilities_Resets!$AA8-Volatilities_Resets!$Y8)/50)*((Calculator!AU19-Calculator!AW$11)*10000)+Volatilities_Resets!$Y8)),IF(AU19&gt;=AW$10,IF(AU19&lt;AX$10,(((Volatilities_Resets!$Y8-Volatilities_Resets!$W8)/50)*((Calculator!AU19-Calculator!AW$10)*10000)+Volatilities_Resets!$W8)),IF(AU19&gt;=AW$9,IF(AU19&lt;AX$9,(((Volatilities_Resets!$W8-Volatilities_Resets!$U8)/50)*((Calculator!AU19-Calculator!AW$9)*10000)+Volatilities_Resets!$U8)),IF(AU19&gt;=AW$8,IF(AU19&lt;AX$8,(((Volatilities_Resets!$U8-Volatilities_Resets!$S8)/50)*((Calculator!AU19-Calculator!AW$8)*10000)+Volatilities_Resets!$S8)),IF(AU19&gt;=AW$7,IF(AU19&lt;AX$7,(((Volatilities_Resets!$S8-Volatilities_Resets!$Q8)/50)*((Calculator!AU19-Calculator!AW$7)*10000)+Volatilities_Resets!$Q8)),IF(AU19&gt;=AW$6,IF(AU19&lt;AX$6,(((Volatilities_Resets!$Q8-Volatilities_Resets!$O8)/50)*((Calculator!AU19-Calculator!AW$6)*10000)+Volatilities_Resets!$O8)),IF(AU19&gt;=AW$5,IF(AU19&lt;AX$5,(((Volatilities_Resets!$O8-Volatilities_Resets!$M8)/50)*((Calculator!AU19-Calculator!AW$5)*10000)+Volatilities_Resets!$M8)),IF(AU19&gt;=AW$4,IF(AU19&lt;AX$4,(((Volatilities_Resets!$M8-Volatilities_Resets!$K8)/50)*((Calculator!AU19-Calculator!AW$4)*10000)+Volatilities_Resets!$K8)),IF(AU19&gt;=AW$3,IF(AU19&lt;AX$3,(((Volatilities_Resets!$K8-Volatilities_Resets!$I8)/50)*((Calculator!AU19-Calculator!AW$3)*10000)+Volatilities_Resets!$I8)),IF(AU19&gt;=AW$2,IF(AU19&lt;AX$2,(((Volatilities_Resets!$I8-Volatilities_Resets!$G8)/50)*((Calculator!AU19-Calculator!AW$2)*10000)+Volatilities_Resets!$G8)),"Well, something broke...")))))))))))/10000</f>
        <v>1.3635E-2</v>
      </c>
      <c r="AX19" s="63">
        <f t="shared" ca="1" si="30"/>
        <v>30745.754077681111</v>
      </c>
      <c r="AY19" s="63">
        <f t="shared" ca="1" si="31"/>
        <v>1.2304233065206704E-3</v>
      </c>
      <c r="AZ19" s="63">
        <f t="shared" ca="1" si="46"/>
        <v>146828.97378652991</v>
      </c>
      <c r="BC19" s="63">
        <f t="shared" ca="1" si="8"/>
        <v>14.492534358877526</v>
      </c>
      <c r="BD19" s="63">
        <f ca="1">SUM($BC$15:BC19)</f>
        <v>30.018769184095486</v>
      </c>
      <c r="BF19" s="52">
        <f ca="1">EXP(-AVERAGE(AV$15:AV19)*AS19)</f>
        <v>0.97733762397653223</v>
      </c>
      <c r="BH19" s="52">
        <f t="shared" ca="1" si="32"/>
        <v>5</v>
      </c>
      <c r="BI19" s="71">
        <f t="shared" ca="1" si="33"/>
        <v>45313</v>
      </c>
      <c r="BJ19" s="71">
        <f t="shared" ca="1" si="9"/>
        <v>45344</v>
      </c>
      <c r="BK19" s="72">
        <f t="shared" ca="1" si="10"/>
        <v>31</v>
      </c>
      <c r="BL19" s="73">
        <f ca="1">SUM(BK$15:BK19)/360</f>
        <v>0.42499999999999999</v>
      </c>
      <c r="BM19" s="74">
        <f t="shared" si="11"/>
        <v>25000000</v>
      </c>
      <c r="BN19" s="59">
        <f t="shared" si="34"/>
        <v>0.05</v>
      </c>
      <c r="BO19" s="57">
        <f>Volatilities_Resets!$E8*0.01</f>
        <v>5.4416900000000004E-2</v>
      </c>
      <c r="BP19" s="61">
        <f>IF(BN19=BQ$11,Volatilities_Resets!$AA8,IF(BN19&gt;=BP$11,IF(BN19&lt;BQ$11,(((Volatilities_Resets!$AA8-Volatilities_Resets!$Y8)/50)*((Calculator!BN19-Calculator!BP$11)*10000)+Volatilities_Resets!$Y8)),IF(BN19&gt;=BP$10,IF(BN19&lt;BQ$10,(((Volatilities_Resets!$Y8-Volatilities_Resets!$W8)/50)*((Calculator!BN19-Calculator!BP$10)*10000)+Volatilities_Resets!$W8)),IF(BN19&gt;=BP$9,IF(BN19&lt;BQ$9,(((Volatilities_Resets!$W8-Volatilities_Resets!$U8)/50)*((Calculator!BN19-Calculator!BP$9)*10000)+Volatilities_Resets!$U8)),IF(BN19&gt;=BP$8,IF(BN19&lt;BQ$8,(((Volatilities_Resets!$U8-Volatilities_Resets!$S8)/50)*((Calculator!BN19-Calculator!BP$8)*10000)+Volatilities_Resets!$S8)),IF(BN19&gt;=BP$7,IF(BN19&lt;BQ$7,(((Volatilities_Resets!$S8-Volatilities_Resets!$Q8)/50)*((Calculator!BN19-Calculator!BP$7)*10000)+Volatilities_Resets!$Q8)),IF(BN19&gt;=BP$6,IF(BN19&lt;BQ$6,(((Volatilities_Resets!$Q8-Volatilities_Resets!$O8)/50)*((Calculator!BN19-Calculator!BP$6)*10000)+Volatilities_Resets!$O8)),IF(BN19&gt;=BP$5,IF(BN19&lt;BQ$5,(((Volatilities_Resets!$O8-Volatilities_Resets!$M8)/50)*((Calculator!BN19-Calculator!BP$5)*10000)+Volatilities_Resets!$M8)),IF(BN19&gt;=BP$4,IF(BN19&lt;BQ$4,(((Volatilities_Resets!$M8-Volatilities_Resets!$K8)/50)*((Calculator!BN19-Calculator!BP$4)*10000)+Volatilities_Resets!$K8)),IF(BN19&gt;=BP$3,IF(BN19&lt;BQ$3,(((Volatilities_Resets!$K8-Volatilities_Resets!$I8)/50)*((Calculator!BN19-Calculator!BP$3)*10000)+Volatilities_Resets!$I8)),IF(BN19&gt;=BP$2,IF(BN19&lt;BQ$2,(((Volatilities_Resets!$I8-Volatilities_Resets!$G8)/50)*((Calculator!BN19-Calculator!BP$2)*10000)+Volatilities_Resets!$G8)),"Well, something broke...")))))))))))/10000</f>
        <v>9.2800000000000001E-3</v>
      </c>
      <c r="BQ19" s="63">
        <f t="shared" ca="1" si="35"/>
        <v>11020.913403485334</v>
      </c>
      <c r="BR19" s="63">
        <f t="shared" ca="1" si="36"/>
        <v>4.4251803764850251E-4</v>
      </c>
      <c r="BS19" s="63">
        <f t="shared" ca="1" si="47"/>
        <v>46258.833138289934</v>
      </c>
      <c r="BV19" s="63">
        <f t="shared" ca="1" si="37"/>
        <v>41.084867240153649</v>
      </c>
      <c r="BW19" s="63">
        <f ca="1">SUM($BV$15:BV19)</f>
        <v>136.35637499789891</v>
      </c>
      <c r="BY19" s="52">
        <f ca="1">EXP(-AVERAGE(BO$15:BO19)*BL19)</f>
        <v>0.97733762397653223</v>
      </c>
      <c r="CA19" s="52">
        <f t="shared" ca="1" si="38"/>
        <v>5</v>
      </c>
      <c r="CB19" s="71">
        <f t="shared" ca="1" si="39"/>
        <v>45313</v>
      </c>
      <c r="CC19" s="71">
        <f t="shared" ca="1" si="12"/>
        <v>45344</v>
      </c>
      <c r="CD19" s="72">
        <f t="shared" ca="1" si="13"/>
        <v>31</v>
      </c>
      <c r="CE19" s="73">
        <f ca="1">SUM(CD$15:CD19)/360</f>
        <v>0.42499999999999999</v>
      </c>
      <c r="CF19" s="74">
        <f t="shared" si="14"/>
        <v>25000000</v>
      </c>
      <c r="CG19" s="59">
        <f t="shared" si="40"/>
        <v>0.06</v>
      </c>
      <c r="CH19" s="57">
        <f>Volatilities_Resets!$E8*0.01</f>
        <v>5.4416900000000004E-2</v>
      </c>
      <c r="CI19" s="61">
        <f>IF(CG19=CJ$11,Volatilities_Resets!$AA8,IF(CG19&gt;=CI$11,IF(CG19&lt;CJ$11,(((Volatilities_Resets!$AA8-Volatilities_Resets!$Y8)/50)*((Calculator!CG19-Calculator!CI$11)*10000)+Volatilities_Resets!$Y8)),IF(CG19&gt;=CI$10,IF(CG19&lt;CJ$10,(((Volatilities_Resets!$Y8-Volatilities_Resets!$W8)/50)*((Calculator!CG19-Calculator!CI$10)*10000)+Volatilities_Resets!$W8)),IF(CG19&gt;=CI$9,IF(CG19&lt;CJ$9,(((Volatilities_Resets!$W8-Volatilities_Resets!$U8)/50)*((Calculator!CG19-Calculator!CI$9)*10000)+Volatilities_Resets!$U8)),IF(CG19&gt;=CI$8,IF(CG19&lt;CJ$8,(((Volatilities_Resets!$U8-Volatilities_Resets!$S8)/50)*((Calculator!CG19-Calculator!CI$8)*10000)+Volatilities_Resets!$S8)),IF(CG19&gt;=CI$7,IF(CG19&lt;CJ$7,(((Volatilities_Resets!$S8-Volatilities_Resets!$Q8)/50)*((Calculator!CG19-Calculator!CI$7)*10000)+Volatilities_Resets!$Q8)),IF(CG19&gt;=CI$6,IF(CG19&lt;CJ$6,(((Volatilities_Resets!$Q8-Volatilities_Resets!$O8)/50)*((Calculator!CG19-Calculator!CI$6)*10000)+Volatilities_Resets!$O8)),IF(CG19&gt;=CI$5,IF(CG19&lt;CJ$5,(((Volatilities_Resets!$O8-Volatilities_Resets!$M8)/50)*((Calculator!CG19-Calculator!CI$5)*10000)+Volatilities_Resets!$M8)),IF(CG19&gt;=CI$4,IF(CG19&lt;CJ$4,(((Volatilities_Resets!$M8-Volatilities_Resets!$K8)/50)*((Calculator!CG19-Calculator!CI$4)*10000)+Volatilities_Resets!$K8)),IF(CG19&gt;=CI$3,IF(CG19&lt;CJ$3,(((Volatilities_Resets!$K8-Volatilities_Resets!$I8)/50)*((Calculator!CG19-Calculator!CI$3)*10000)+Volatilities_Resets!$I8)),IF(CG19&gt;=CI$2,IF(CG19&lt;CJ$2,(((Volatilities_Resets!$I8-Volatilities_Resets!$G8)/50)*((Calculator!CG19-Calculator!CI$2)*10000)+Volatilities_Resets!$G8)),"Well, something broke...")))))))))))/10000</f>
        <v>6.8579999999999995E-3</v>
      </c>
      <c r="CJ19" s="63">
        <f t="shared" ca="1" si="41"/>
        <v>477.07463382212279</v>
      </c>
      <c r="CK19" s="63">
        <f t="shared" ca="1" si="42"/>
        <v>2.0097964909527144E-5</v>
      </c>
      <c r="CL19" s="63">
        <f t="shared" ca="1" si="48"/>
        <v>934.0484992084406</v>
      </c>
      <c r="CO19" s="63">
        <f t="shared" ca="1" si="43"/>
        <v>24.799442706836825</v>
      </c>
      <c r="CP19" s="63">
        <f ca="1">SUM($CO$15:CO19)</f>
        <v>55.373461433613471</v>
      </c>
      <c r="CR19" s="52">
        <f ca="1">EXP(-AVERAGE(CH$15:CH19)*CE19)</f>
        <v>0.97733762397653223</v>
      </c>
      <c r="CT19"/>
      <c r="CU19"/>
      <c r="CV19"/>
      <c r="CW19"/>
      <c r="CX19"/>
      <c r="CY19"/>
      <c r="CZ19"/>
      <c r="DA19"/>
      <c r="DB19"/>
      <c r="DC19"/>
      <c r="DD19"/>
      <c r="DE19"/>
      <c r="DF19"/>
      <c r="DG19"/>
      <c r="DH19"/>
      <c r="DI19"/>
      <c r="DJ19"/>
      <c r="DK19"/>
      <c r="DL19"/>
    </row>
    <row r="20" spans="2:116" ht="15.75" customHeight="1" x14ac:dyDescent="0.2">
      <c r="B20" s="52">
        <v>1</v>
      </c>
      <c r="C20" s="52">
        <f t="shared" ca="1" si="15"/>
        <v>6</v>
      </c>
      <c r="D20" s="71">
        <f t="shared" ca="1" si="16"/>
        <v>45344</v>
      </c>
      <c r="E20" s="71">
        <f t="shared" ca="1" si="0"/>
        <v>45373</v>
      </c>
      <c r="F20" s="72">
        <f t="shared" ca="1" si="1"/>
        <v>29</v>
      </c>
      <c r="G20" s="73">
        <f ca="1">SUM($F$15:F20)/360</f>
        <v>0.50555555555555554</v>
      </c>
      <c r="H20" s="74">
        <f t="shared" si="2"/>
        <v>25000000</v>
      </c>
      <c r="I20" s="59">
        <f>IF('Cap Pricer'!$E$22=DataValidation!$C$2,'Cap Pricer'!$E$23,IF('Cap Pricer'!$E$22=DataValidation!$C$3,VLOOKUP($B20,'Cap Pricer'!$C$25:$E$31,3),""))</f>
        <v>0.02</v>
      </c>
      <c r="J20" s="57">
        <f>Volatilities_Resets!$E9*0.01</f>
        <v>5.4331500000000005E-2</v>
      </c>
      <c r="K20" s="61">
        <f>IF(I20=L$11,Volatilities_Resets!$AA9,IF(I20&gt;=K$11,IF(I20&lt;L$11,(((Volatilities_Resets!$AA9-Volatilities_Resets!$Y9)/50)*((Calculator!I20-Calculator!K$11)*10000)+Volatilities_Resets!$Y9)),IF(I20&gt;=K$10,IF(I20&lt;L$10,(((Volatilities_Resets!$Y9-Volatilities_Resets!$W9)/50)*((Calculator!I20-Calculator!K$10)*10000)+Volatilities_Resets!$W9)),IF(I20&gt;=K$9,IF(I20&lt;L$9,(((Volatilities_Resets!$W9-Volatilities_Resets!$U9)/50)*((Calculator!I20-Calculator!K$9)*10000)+Volatilities_Resets!$U9)),IF(I20&gt;=K$8,IF(I20&lt;L$8,(((Volatilities_Resets!$U9-Volatilities_Resets!$S9)/50)*((Calculator!I20-Calculator!K$8)*10000)+Volatilities_Resets!$S9)),IF(I20&gt;=K$7,IF(I20&lt;L$7,(((Volatilities_Resets!$S9-Volatilities_Resets!$Q9)/50)*((Calculator!I20-Calculator!K$7)*10000)+Volatilities_Resets!$Q9)),IF(I20&gt;=K$6,IF(I20&lt;L$6,(((Volatilities_Resets!$Q9-Volatilities_Resets!$O9)/50)*((Calculator!I20-Calculator!K$6)*10000)+Volatilities_Resets!$O9)),IF(I20&gt;=K$5,IF(I20&lt;L$5,(((Volatilities_Resets!$O9-Volatilities_Resets!$M9)/50)*((Calculator!I20-Calculator!K$5)*10000)+Volatilities_Resets!$M9)),IF(I20&gt;=K$4,IF(I20&lt;L$4,(((Volatilities_Resets!$M9-Volatilities_Resets!$K9)/50)*((Calculator!I20-Calculator!K$4)*10000)+Volatilities_Resets!$K9)),IF(I20&gt;=K$3,IF(I20&lt;L$3,(((Volatilities_Resets!$K9-Volatilities_Resets!$I9)/50)*((Calculator!I20-Calculator!K$3)*10000)+Volatilities_Resets!$I9)),IF(I20&gt;=K$2,IF(I20&lt;L$2,(((Volatilities_Resets!$I9-Volatilities_Resets!$G9)/50)*((Calculator!I20-Calculator!K$2)*10000)+Volatilities_Resets!$G9)),"Well, something broke...")))))))))))/10000</f>
        <v>2.2251E-2</v>
      </c>
      <c r="L20" s="47">
        <f t="shared" ca="1" si="17"/>
        <v>67442.709606409902</v>
      </c>
      <c r="M20" s="63">
        <f t="shared" ca="1" si="18"/>
        <v>2.6979217357973651E-3</v>
      </c>
      <c r="N20" s="63">
        <f t="shared" ca="1" si="44"/>
        <v>423260.02108691924</v>
      </c>
      <c r="Q20" s="63">
        <f t="shared" ca="1" si="19"/>
        <v>5.1901390954347812</v>
      </c>
      <c r="R20" s="63">
        <f ca="1">SUM($Q$15:Q20)</f>
        <v>10.088475403842651</v>
      </c>
      <c r="T20" s="52">
        <f ca="1">EXP(-AVERAGE(J$15:J20)*G20)</f>
        <v>0.97306803070008707</v>
      </c>
      <c r="U20" s="57"/>
      <c r="V20" s="52">
        <f t="shared" ca="1" si="20"/>
        <v>6</v>
      </c>
      <c r="W20" s="71">
        <f t="shared" ca="1" si="21"/>
        <v>45344</v>
      </c>
      <c r="X20" s="71">
        <f t="shared" ca="1" si="3"/>
        <v>45373</v>
      </c>
      <c r="Y20" s="72">
        <f t="shared" ca="1" si="4"/>
        <v>29</v>
      </c>
      <c r="Z20" s="73">
        <f ca="1">SUM(Y$15:Y20)/360</f>
        <v>0.50555555555555554</v>
      </c>
      <c r="AA20" s="74">
        <f t="shared" si="22"/>
        <v>25000000</v>
      </c>
      <c r="AB20" s="59">
        <f t="shared" si="23"/>
        <v>0.03</v>
      </c>
      <c r="AC20" s="57">
        <f>Volatilities_Resets!$E9*0.01</f>
        <v>5.4331500000000005E-2</v>
      </c>
      <c r="AD20" s="61">
        <f>IF(AB20=AE$11,Volatilities_Resets!$AA9,IF(AB20&gt;=AD$11,IF(AB20&lt;AE$11,(((Volatilities_Resets!$AA9-Volatilities_Resets!$Y9)/50)*((Calculator!AB20-Calculator!AD$11)*10000)+Volatilities_Resets!$Y9)),IF(AB20&gt;=AD$10,IF(AB20&lt;AE$10,(((Volatilities_Resets!$Y9-Volatilities_Resets!$W9)/50)*((Calculator!AB20-Calculator!AD$10)*10000)+Volatilities_Resets!$W9)),IF(AB20&gt;=AD$9,IF(AB20&lt;AE$9,(((Volatilities_Resets!$W9-Volatilities_Resets!$U9)/50)*((Calculator!AB20-Calculator!AD$9)*10000)+Volatilities_Resets!$U9)),IF(AB20&gt;=AD$8,IF(AB20&lt;AE$8,(((Volatilities_Resets!$U9-Volatilities_Resets!$S9)/50)*((Calculator!AB20-Calculator!AD$8)*10000)+Volatilities_Resets!$S9)),IF(AB20&gt;=AD$7,IF(AB20&lt;AE$7,(((Volatilities_Resets!$S9-Volatilities_Resets!$Q9)/50)*((Calculator!AB20-Calculator!AD$7)*10000)+Volatilities_Resets!$Q9)),IF(AB20&gt;=AD$6,IF(AB20&lt;AE$6,(((Volatilities_Resets!$Q9-Volatilities_Resets!$O9)/50)*((Calculator!AB20-Calculator!AD$6)*10000)+Volatilities_Resets!$O9)),IF(AB20&gt;=AD$5,IF(AB20&lt;AE$5,(((Volatilities_Resets!$O9-Volatilities_Resets!$M9)/50)*((Calculator!AB20-Calculator!AD$5)*10000)+Volatilities_Resets!$M9)),IF(AB20&gt;=AD$4,IF(AB20&lt;AE$4,(((Volatilities_Resets!$M9-Volatilities_Resets!$K9)/50)*((Calculator!AB20-Calculator!AD$4)*10000)+Volatilities_Resets!$K9)),IF(AB20&gt;=AD$3,IF(AB20&lt;AE$3,(((Volatilities_Resets!$K9-Volatilities_Resets!$I9)/50)*((Calculator!AB20-Calculator!AD$3)*10000)+Volatilities_Resets!$I9)),IF(AB20&gt;=AD$2,IF(AB20&lt;AE$2,(((Volatilities_Resets!$I9-Volatilities_Resets!$G9)/50)*((Calculator!AB20-Calculator!AD$2)*10000)+Volatilities_Resets!$G9)),"Well, something broke...")))))))))))/10000</f>
        <v>1.8447999999999999E-2</v>
      </c>
      <c r="AE20" s="63">
        <f t="shared" ca="1" si="24"/>
        <v>48000.398980603837</v>
      </c>
      <c r="AF20" s="63">
        <f t="shared" ca="1" si="25"/>
        <v>1.920417647198656E-3</v>
      </c>
      <c r="AG20" s="63">
        <f t="shared" ca="1" si="45"/>
        <v>299187.12455653725</v>
      </c>
      <c r="AJ20" s="63">
        <f t="shared" ca="1" si="26"/>
        <v>9.7717431576284906</v>
      </c>
      <c r="AK20" s="63">
        <f ca="1">SUM($AJ$15:AJ20)</f>
        <v>21.473979656495295</v>
      </c>
      <c r="AM20" s="52">
        <f ca="1">EXP(-AVERAGE(AC$15:AC20)*Z20)</f>
        <v>0.97306803070008707</v>
      </c>
      <c r="AO20" s="52">
        <f t="shared" ca="1" si="27"/>
        <v>6</v>
      </c>
      <c r="AP20" s="71">
        <f t="shared" ca="1" si="28"/>
        <v>45344</v>
      </c>
      <c r="AQ20" s="71">
        <f t="shared" ca="1" si="5"/>
        <v>45373</v>
      </c>
      <c r="AR20" s="72">
        <f t="shared" ca="1" si="6"/>
        <v>29</v>
      </c>
      <c r="AS20" s="73">
        <f ca="1">SUM(AR$15:AR20)/360</f>
        <v>0.50555555555555554</v>
      </c>
      <c r="AT20" s="74">
        <f t="shared" si="7"/>
        <v>25000000</v>
      </c>
      <c r="AU20" s="59">
        <f t="shared" si="29"/>
        <v>0.04</v>
      </c>
      <c r="AV20" s="57">
        <f>Volatilities_Resets!$E9*0.01</f>
        <v>5.4331500000000005E-2</v>
      </c>
      <c r="AW20" s="61">
        <f>IF(AU20=AX$11,Volatilities_Resets!$AA9,IF(AU20&gt;=AW$11,IF(AU20&lt;AX$11,(((Volatilities_Resets!$AA9-Volatilities_Resets!$Y9)/50)*((Calculator!AU20-Calculator!AW$11)*10000)+Volatilities_Resets!$Y9)),IF(AU20&gt;=AW$10,IF(AU20&lt;AX$10,(((Volatilities_Resets!$Y9-Volatilities_Resets!$W9)/50)*((Calculator!AU20-Calculator!AW$10)*10000)+Volatilities_Resets!$W9)),IF(AU20&gt;=AW$9,IF(AU20&lt;AX$9,(((Volatilities_Resets!$W9-Volatilities_Resets!$U9)/50)*((Calculator!AU20-Calculator!AW$9)*10000)+Volatilities_Resets!$U9)),IF(AU20&gt;=AW$8,IF(AU20&lt;AX$8,(((Volatilities_Resets!$U9-Volatilities_Resets!$S9)/50)*((Calculator!AU20-Calculator!AW$8)*10000)+Volatilities_Resets!$S9)),IF(AU20&gt;=AW$7,IF(AU20&lt;AX$7,(((Volatilities_Resets!$S9-Volatilities_Resets!$Q9)/50)*((Calculator!AU20-Calculator!AW$7)*10000)+Volatilities_Resets!$Q9)),IF(AU20&gt;=AW$6,IF(AU20&lt;AX$6,(((Volatilities_Resets!$Q9-Volatilities_Resets!$O9)/50)*((Calculator!AU20-Calculator!AW$6)*10000)+Volatilities_Resets!$O9)),IF(AU20&gt;=AW$5,IF(AU20&lt;AX$5,(((Volatilities_Resets!$O9-Volatilities_Resets!$M9)/50)*((Calculator!AU20-Calculator!AW$5)*10000)+Volatilities_Resets!$M9)),IF(AU20&gt;=AW$4,IF(AU20&lt;AX$4,(((Volatilities_Resets!$M9-Volatilities_Resets!$K9)/50)*((Calculator!AU20-Calculator!AW$4)*10000)+Volatilities_Resets!$K9)),IF(AU20&gt;=AW$3,IF(AU20&lt;AX$3,(((Volatilities_Resets!$K9-Volatilities_Resets!$I9)/50)*((Calculator!AU20-Calculator!AW$3)*10000)+Volatilities_Resets!$I9)),IF(AU20&gt;=AW$2,IF(AU20&lt;AX$2,(((Volatilities_Resets!$I9-Volatilities_Resets!$G9)/50)*((Calculator!AU20-Calculator!AW$2)*10000)+Volatilities_Resets!$G9)),"Well, something broke...")))))))))))/10000</f>
        <v>1.3731E-2</v>
      </c>
      <c r="AX20" s="63">
        <f t="shared" ca="1" si="30"/>
        <v>28687.727941497538</v>
      </c>
      <c r="AY20" s="63">
        <f t="shared" ca="1" si="31"/>
        <v>1.1482720893380752E-3</v>
      </c>
      <c r="AZ20" s="63">
        <f t="shared" ca="1" si="46"/>
        <v>175516.70172802746</v>
      </c>
      <c r="BC20" s="63">
        <f t="shared" ca="1" si="8"/>
        <v>18.560583709011983</v>
      </c>
      <c r="BD20" s="63">
        <f ca="1">SUM($BC$15:BC20)</f>
        <v>48.579352893107469</v>
      </c>
      <c r="BF20" s="52">
        <f ca="1">EXP(-AVERAGE(AV$15:AV20)*AS20)</f>
        <v>0.97306803070008707</v>
      </c>
      <c r="BH20" s="52">
        <f t="shared" ca="1" si="32"/>
        <v>6</v>
      </c>
      <c r="BI20" s="71">
        <f t="shared" ca="1" si="33"/>
        <v>45344</v>
      </c>
      <c r="BJ20" s="71">
        <f t="shared" ca="1" si="9"/>
        <v>45373</v>
      </c>
      <c r="BK20" s="72">
        <f t="shared" ca="1" si="10"/>
        <v>29</v>
      </c>
      <c r="BL20" s="73">
        <f ca="1">SUM(BK$15:BK20)/360</f>
        <v>0.50555555555555554</v>
      </c>
      <c r="BM20" s="74">
        <f t="shared" si="11"/>
        <v>25000000</v>
      </c>
      <c r="BN20" s="59">
        <f t="shared" si="34"/>
        <v>0.05</v>
      </c>
      <c r="BO20" s="57">
        <f>Volatilities_Resets!$E9*0.01</f>
        <v>5.4331500000000005E-2</v>
      </c>
      <c r="BP20" s="61">
        <f>IF(BN20=BQ$11,Volatilities_Resets!$AA9,IF(BN20&gt;=BP$11,IF(BN20&lt;BQ$11,(((Volatilities_Resets!$AA9-Volatilities_Resets!$Y9)/50)*((Calculator!BN20-Calculator!BP$11)*10000)+Volatilities_Resets!$Y9)),IF(BN20&gt;=BP$10,IF(BN20&lt;BQ$10,(((Volatilities_Resets!$Y9-Volatilities_Resets!$W9)/50)*((Calculator!BN20-Calculator!BP$10)*10000)+Volatilities_Resets!$W9)),IF(BN20&gt;=BP$9,IF(BN20&lt;BQ$9,(((Volatilities_Resets!$W9-Volatilities_Resets!$U9)/50)*((Calculator!BN20-Calculator!BP$9)*10000)+Volatilities_Resets!$U9)),IF(BN20&gt;=BP$8,IF(BN20&lt;BQ$8,(((Volatilities_Resets!$U9-Volatilities_Resets!$S9)/50)*((Calculator!BN20-Calculator!BP$8)*10000)+Volatilities_Resets!$S9)),IF(BN20&gt;=BP$7,IF(BN20&lt;BQ$7,(((Volatilities_Resets!$S9-Volatilities_Resets!$Q9)/50)*((Calculator!BN20-Calculator!BP$7)*10000)+Volatilities_Resets!$Q9)),IF(BN20&gt;=BP$6,IF(BN20&lt;BQ$6,(((Volatilities_Resets!$Q9-Volatilities_Resets!$O9)/50)*((Calculator!BN20-Calculator!BP$6)*10000)+Volatilities_Resets!$O9)),IF(BN20&gt;=BP$5,IF(BN20&lt;BQ$5,(((Volatilities_Resets!$O9-Volatilities_Resets!$M9)/50)*((Calculator!BN20-Calculator!BP$5)*10000)+Volatilities_Resets!$M9)),IF(BN20&gt;=BP$4,IF(BN20&lt;BQ$4,(((Volatilities_Resets!$M9-Volatilities_Resets!$K9)/50)*((Calculator!BN20-Calculator!BP$4)*10000)+Volatilities_Resets!$K9)),IF(BN20&gt;=BP$3,IF(BN20&lt;BQ$3,(((Volatilities_Resets!$K9-Volatilities_Resets!$I9)/50)*((Calculator!BN20-Calculator!BP$3)*10000)+Volatilities_Resets!$I9)),IF(BN20&gt;=BP$2,IF(BN20&lt;BQ$2,(((Volatilities_Resets!$I9-Volatilities_Resets!$G9)/50)*((Calculator!BN20-Calculator!BP$2)*10000)+Volatilities_Resets!$G9)),"Well, something broke...")))))))))))/10000</f>
        <v>9.3680000000000013E-3</v>
      </c>
      <c r="BQ20" s="63">
        <f t="shared" ca="1" si="35"/>
        <v>10515.32676824491</v>
      </c>
      <c r="BR20" s="63">
        <f t="shared" ca="1" si="36"/>
        <v>4.2241682292737924E-4</v>
      </c>
      <c r="BS20" s="63">
        <f t="shared" ca="1" si="47"/>
        <v>56774.159906534842</v>
      </c>
      <c r="BV20" s="63">
        <f t="shared" ca="1" si="37"/>
        <v>43.879339969322437</v>
      </c>
      <c r="BW20" s="63">
        <f ca="1">SUM($BV$15:BV20)</f>
        <v>180.23571496722136</v>
      </c>
      <c r="BY20" s="52">
        <f ca="1">EXP(-AVERAGE(BO$15:BO20)*BL20)</f>
        <v>0.97306803070008707</v>
      </c>
      <c r="CA20" s="52">
        <f t="shared" ca="1" si="38"/>
        <v>6</v>
      </c>
      <c r="CB20" s="71">
        <f t="shared" ca="1" si="39"/>
        <v>45344</v>
      </c>
      <c r="CC20" s="71">
        <f t="shared" ca="1" si="12"/>
        <v>45373</v>
      </c>
      <c r="CD20" s="72">
        <f t="shared" ca="1" si="13"/>
        <v>29</v>
      </c>
      <c r="CE20" s="73">
        <f ca="1">SUM(CD$15:CD20)/360</f>
        <v>0.50555555555555554</v>
      </c>
      <c r="CF20" s="74">
        <f t="shared" si="14"/>
        <v>25000000</v>
      </c>
      <c r="CG20" s="59">
        <f t="shared" si="40"/>
        <v>0.06</v>
      </c>
      <c r="CH20" s="57">
        <f>Volatilities_Resets!$E9*0.01</f>
        <v>5.4331500000000005E-2</v>
      </c>
      <c r="CI20" s="61">
        <f>IF(CG20=CJ$11,Volatilities_Resets!$AA9,IF(CG20&gt;=CI$11,IF(CG20&lt;CJ$11,(((Volatilities_Resets!$AA9-Volatilities_Resets!$Y9)/50)*((Calculator!CG20-Calculator!CI$11)*10000)+Volatilities_Resets!$Y9)),IF(CG20&gt;=CI$10,IF(CG20&lt;CJ$10,(((Volatilities_Resets!$Y9-Volatilities_Resets!$W9)/50)*((Calculator!CG20-Calculator!CI$10)*10000)+Volatilities_Resets!$W9)),IF(CG20&gt;=CI$9,IF(CG20&lt;CJ$9,(((Volatilities_Resets!$W9-Volatilities_Resets!$U9)/50)*((Calculator!CG20-Calculator!CI$9)*10000)+Volatilities_Resets!$U9)),IF(CG20&gt;=CI$8,IF(CG20&lt;CJ$8,(((Volatilities_Resets!$U9-Volatilities_Resets!$S9)/50)*((Calculator!CG20-Calculator!CI$8)*10000)+Volatilities_Resets!$S9)),IF(CG20&gt;=CI$7,IF(CG20&lt;CJ$7,(((Volatilities_Resets!$S9-Volatilities_Resets!$Q9)/50)*((Calculator!CG20-Calculator!CI$7)*10000)+Volatilities_Resets!$Q9)),IF(CG20&gt;=CI$6,IF(CG20&lt;CJ$6,(((Volatilities_Resets!$Q9-Volatilities_Resets!$O9)/50)*((Calculator!CG20-Calculator!CI$6)*10000)+Volatilities_Resets!$O9)),IF(CG20&gt;=CI$5,IF(CG20&lt;CJ$5,(((Volatilities_Resets!$O9-Volatilities_Resets!$M9)/50)*((Calculator!CG20-Calculator!CI$5)*10000)+Volatilities_Resets!$M9)),IF(CG20&gt;=CI$4,IF(CG20&lt;CJ$4,(((Volatilities_Resets!$M9-Volatilities_Resets!$K9)/50)*((Calculator!CG20-Calculator!CI$4)*10000)+Volatilities_Resets!$K9)),IF(CG20&gt;=CI$3,IF(CG20&lt;CJ$3,(((Volatilities_Resets!$K9-Volatilities_Resets!$I9)/50)*((Calculator!CG20-Calculator!CI$3)*10000)+Volatilities_Resets!$I9)),IF(CG20&gt;=CI$2,IF(CG20&lt;CJ$2,(((Volatilities_Resets!$I9-Volatilities_Resets!$G9)/50)*((Calculator!CG20-Calculator!CI$2)*10000)+Volatilities_Resets!$G9)),"Well, something broke...")))))))))))/10000</f>
        <v>6.8669999999999998E-3</v>
      </c>
      <c r="CJ20" s="63">
        <f t="shared" ca="1" si="41"/>
        <v>581.22280597039889</v>
      </c>
      <c r="CK20" s="63">
        <f t="shared" ca="1" si="42"/>
        <v>2.4393276872202663E-5</v>
      </c>
      <c r="CL20" s="63">
        <f t="shared" ca="1" si="48"/>
        <v>1515.2713051788396</v>
      </c>
      <c r="CO20" s="63">
        <f t="shared" ca="1" si="43"/>
        <v>27.838616005310783</v>
      </c>
      <c r="CP20" s="63">
        <f ca="1">SUM($CO$15:CO20)</f>
        <v>83.212077438924254</v>
      </c>
      <c r="CR20" s="52">
        <f ca="1">EXP(-AVERAGE(CH$15:CH20)*CE20)</f>
        <v>0.97306803070008707</v>
      </c>
      <c r="CT20"/>
      <c r="CU20"/>
      <c r="CV20"/>
      <c r="CW20"/>
      <c r="CX20"/>
      <c r="CY20"/>
      <c r="CZ20"/>
      <c r="DA20"/>
      <c r="DB20"/>
      <c r="DC20"/>
      <c r="DD20"/>
      <c r="DE20"/>
      <c r="DF20"/>
      <c r="DG20"/>
      <c r="DH20"/>
      <c r="DI20"/>
      <c r="DJ20"/>
      <c r="DK20"/>
      <c r="DL20"/>
    </row>
    <row r="21" spans="2:116" ht="15.75" customHeight="1" x14ac:dyDescent="0.2">
      <c r="B21" s="52">
        <v>1</v>
      </c>
      <c r="C21" s="52">
        <f t="shared" ca="1" si="15"/>
        <v>7</v>
      </c>
      <c r="D21" s="71">
        <f t="shared" ca="1" si="16"/>
        <v>45373</v>
      </c>
      <c r="E21" s="71">
        <f t="shared" ca="1" si="0"/>
        <v>45404</v>
      </c>
      <c r="F21" s="72">
        <f t="shared" ca="1" si="1"/>
        <v>31</v>
      </c>
      <c r="G21" s="73">
        <f ca="1">SUM($F$15:F21)/360</f>
        <v>0.59166666666666667</v>
      </c>
      <c r="H21" s="74">
        <f t="shared" si="2"/>
        <v>25000000</v>
      </c>
      <c r="I21" s="59">
        <f>IF('Cap Pricer'!$E$22=DataValidation!$C$2,'Cap Pricer'!$E$23,IF('Cap Pricer'!$E$22=DataValidation!$C$3,VLOOKUP($B21,'Cap Pricer'!$C$25:$E$31,3),""))</f>
        <v>0.02</v>
      </c>
      <c r="J21" s="57">
        <f>Volatilities_Resets!$E10*0.01</f>
        <v>5.4095300000000006E-2</v>
      </c>
      <c r="K21" s="61">
        <f>IF(I21=L$11,Volatilities_Resets!$AA10,IF(I21&gt;=K$11,IF(I21&lt;L$11,(((Volatilities_Resets!$AA10-Volatilities_Resets!$Y10)/50)*((Calculator!I21-Calculator!K$11)*10000)+Volatilities_Resets!$Y10)),IF(I21&gt;=K$10,IF(I21&lt;L$10,(((Volatilities_Resets!$Y10-Volatilities_Resets!$W10)/50)*((Calculator!I21-Calculator!K$10)*10000)+Volatilities_Resets!$W10)),IF(I21&gt;=K$9,IF(I21&lt;L$9,(((Volatilities_Resets!$W10-Volatilities_Resets!$U10)/50)*((Calculator!I21-Calculator!K$9)*10000)+Volatilities_Resets!$U10)),IF(I21&gt;=K$8,IF(I21&lt;L$8,(((Volatilities_Resets!$U10-Volatilities_Resets!$S10)/50)*((Calculator!I21-Calculator!K$8)*10000)+Volatilities_Resets!$S10)),IF(I21&gt;=K$7,IF(I21&lt;L$7,(((Volatilities_Resets!$S10-Volatilities_Resets!$Q10)/50)*((Calculator!I21-Calculator!K$7)*10000)+Volatilities_Resets!$Q10)),IF(I21&gt;=K$6,IF(I21&lt;L$6,(((Volatilities_Resets!$Q10-Volatilities_Resets!$O10)/50)*((Calculator!I21-Calculator!K$6)*10000)+Volatilities_Resets!$O10)),IF(I21&gt;=K$5,IF(I21&lt;L$5,(((Volatilities_Resets!$O10-Volatilities_Resets!$M10)/50)*((Calculator!I21-Calculator!K$5)*10000)+Volatilities_Resets!$M10)),IF(I21&gt;=K$4,IF(I21&lt;L$4,(((Volatilities_Resets!$M10-Volatilities_Resets!$K10)/50)*((Calculator!I21-Calculator!K$4)*10000)+Volatilities_Resets!$K10)),IF(I21&gt;=K$3,IF(I21&lt;L$3,(((Volatilities_Resets!$K10-Volatilities_Resets!$I10)/50)*((Calculator!I21-Calculator!K$3)*10000)+Volatilities_Resets!$I10)),IF(I21&gt;=K$2,IF(I21&lt;L$2,(((Volatilities_Resets!$I10-Volatilities_Resets!$G10)/50)*((Calculator!I21-Calculator!K$2)*10000)+Volatilities_Resets!$G10)),"Well, something broke...")))))))))))/10000</f>
        <v>2.2075000000000001E-2</v>
      </c>
      <c r="L21" s="47">
        <f t="shared" ca="1" si="17"/>
        <v>71385.147588709515</v>
      </c>
      <c r="M21" s="63">
        <f t="shared" ca="1" si="18"/>
        <v>2.855749908536937E-3</v>
      </c>
      <c r="N21" s="63">
        <f t="shared" ca="1" si="44"/>
        <v>494645.16867562872</v>
      </c>
      <c r="Q21" s="63">
        <f t="shared" ca="1" si="19"/>
        <v>8.3296160684150955</v>
      </c>
      <c r="R21" s="63">
        <f ca="1">SUM($Q$15:Q21)</f>
        <v>18.418091472257746</v>
      </c>
      <c r="T21" s="52">
        <f ca="1">EXP(-AVERAGE(J$15:J21)*G21)</f>
        <v>0.96854596247272362</v>
      </c>
      <c r="U21" s="57"/>
      <c r="V21" s="52">
        <f t="shared" ca="1" si="20"/>
        <v>7</v>
      </c>
      <c r="W21" s="71">
        <f t="shared" ca="1" si="21"/>
        <v>45373</v>
      </c>
      <c r="X21" s="71">
        <f t="shared" ca="1" si="3"/>
        <v>45404</v>
      </c>
      <c r="Y21" s="72">
        <f t="shared" ca="1" si="4"/>
        <v>31</v>
      </c>
      <c r="Z21" s="73">
        <f ca="1">SUM(Y$15:Y21)/360</f>
        <v>0.59166666666666667</v>
      </c>
      <c r="AA21" s="74">
        <f t="shared" si="22"/>
        <v>25000000</v>
      </c>
      <c r="AB21" s="59">
        <f t="shared" si="23"/>
        <v>0.03</v>
      </c>
      <c r="AC21" s="57">
        <f>Volatilities_Resets!$E10*0.01</f>
        <v>5.4095300000000006E-2</v>
      </c>
      <c r="AD21" s="61">
        <f>IF(AB21=AE$11,Volatilities_Resets!$AA10,IF(AB21&gt;=AD$11,IF(AB21&lt;AE$11,(((Volatilities_Resets!$AA10-Volatilities_Resets!$Y10)/50)*((Calculator!AB21-Calculator!AD$11)*10000)+Volatilities_Resets!$Y10)),IF(AB21&gt;=AD$10,IF(AB21&lt;AE$10,(((Volatilities_Resets!$Y10-Volatilities_Resets!$W10)/50)*((Calculator!AB21-Calculator!AD$10)*10000)+Volatilities_Resets!$W10)),IF(AB21&gt;=AD$9,IF(AB21&lt;AE$9,(((Volatilities_Resets!$W10-Volatilities_Resets!$U10)/50)*((Calculator!AB21-Calculator!AD$9)*10000)+Volatilities_Resets!$U10)),IF(AB21&gt;=AD$8,IF(AB21&lt;AE$8,(((Volatilities_Resets!$U10-Volatilities_Resets!$S10)/50)*((Calculator!AB21-Calculator!AD$8)*10000)+Volatilities_Resets!$S10)),IF(AB21&gt;=AD$7,IF(AB21&lt;AE$7,(((Volatilities_Resets!$S10-Volatilities_Resets!$Q10)/50)*((Calculator!AB21-Calculator!AD$7)*10000)+Volatilities_Resets!$Q10)),IF(AB21&gt;=AD$6,IF(AB21&lt;AE$6,(((Volatilities_Resets!$Q10-Volatilities_Resets!$O10)/50)*((Calculator!AB21-Calculator!AD$6)*10000)+Volatilities_Resets!$O10)),IF(AB21&gt;=AD$5,IF(AB21&lt;AE$5,(((Volatilities_Resets!$O10-Volatilities_Resets!$M10)/50)*((Calculator!AB21-Calculator!AD$5)*10000)+Volatilities_Resets!$M10)),IF(AB21&gt;=AD$4,IF(AB21&lt;AE$4,(((Volatilities_Resets!$M10-Volatilities_Resets!$K10)/50)*((Calculator!AB21-Calculator!AD$4)*10000)+Volatilities_Resets!$K10)),IF(AB21&gt;=AD$3,IF(AB21&lt;AE$3,(((Volatilities_Resets!$K10-Volatilities_Resets!$I10)/50)*((Calculator!AB21-Calculator!AD$3)*10000)+Volatilities_Resets!$I10)),IF(AB21&gt;=AD$2,IF(AB21&lt;AE$2,(((Volatilities_Resets!$I10-Volatilities_Resets!$G10)/50)*((Calculator!AB21-Calculator!AD$2)*10000)+Volatilities_Resets!$G10)),"Well, something broke...")))))))))))/10000</f>
        <v>1.8252000000000001E-2</v>
      </c>
      <c r="AE21" s="63">
        <f t="shared" ca="1" si="24"/>
        <v>50754.735108680106</v>
      </c>
      <c r="AF21" s="63">
        <f t="shared" ca="1" si="25"/>
        <v>2.0307809653430488E-3</v>
      </c>
      <c r="AG21" s="63">
        <f t="shared" ca="1" si="45"/>
        <v>349941.85966521734</v>
      </c>
      <c r="AJ21" s="63">
        <f t="shared" ca="1" si="26"/>
        <v>14.323850352043275</v>
      </c>
      <c r="AK21" s="63">
        <f ca="1">SUM($AJ$15:AJ21)</f>
        <v>35.797830008538568</v>
      </c>
      <c r="AM21" s="52">
        <f ca="1">EXP(-AVERAGE(AC$15:AC21)*Z21)</f>
        <v>0.96854596247272362</v>
      </c>
      <c r="AO21" s="52">
        <f t="shared" ca="1" si="27"/>
        <v>7</v>
      </c>
      <c r="AP21" s="71">
        <f t="shared" ca="1" si="28"/>
        <v>45373</v>
      </c>
      <c r="AQ21" s="71">
        <f t="shared" ca="1" si="5"/>
        <v>45404</v>
      </c>
      <c r="AR21" s="72">
        <f t="shared" ca="1" si="6"/>
        <v>31</v>
      </c>
      <c r="AS21" s="73">
        <f ca="1">SUM(AR$15:AR21)/360</f>
        <v>0.59166666666666667</v>
      </c>
      <c r="AT21" s="74">
        <f t="shared" si="7"/>
        <v>25000000</v>
      </c>
      <c r="AU21" s="59">
        <f t="shared" si="29"/>
        <v>0.04</v>
      </c>
      <c r="AV21" s="57">
        <f>Volatilities_Resets!$E10*0.01</f>
        <v>5.4095300000000006E-2</v>
      </c>
      <c r="AW21" s="61">
        <f>IF(AU21=AX$11,Volatilities_Resets!$AA10,IF(AU21&gt;=AW$11,IF(AU21&lt;AX$11,(((Volatilities_Resets!$AA10-Volatilities_Resets!$Y10)/50)*((Calculator!AU21-Calculator!AW$11)*10000)+Volatilities_Resets!$Y10)),IF(AU21&gt;=AW$10,IF(AU21&lt;AX$10,(((Volatilities_Resets!$Y10-Volatilities_Resets!$W10)/50)*((Calculator!AU21-Calculator!AW$10)*10000)+Volatilities_Resets!$W10)),IF(AU21&gt;=AW$9,IF(AU21&lt;AX$9,(((Volatilities_Resets!$W10-Volatilities_Resets!$U10)/50)*((Calculator!AU21-Calculator!AW$9)*10000)+Volatilities_Resets!$U10)),IF(AU21&gt;=AW$8,IF(AU21&lt;AX$8,(((Volatilities_Resets!$U10-Volatilities_Resets!$S10)/50)*((Calculator!AU21-Calculator!AW$8)*10000)+Volatilities_Resets!$S10)),IF(AU21&gt;=AW$7,IF(AU21&lt;AX$7,(((Volatilities_Resets!$S10-Volatilities_Resets!$Q10)/50)*((Calculator!AU21-Calculator!AW$7)*10000)+Volatilities_Resets!$Q10)),IF(AU21&gt;=AW$6,IF(AU21&lt;AX$6,(((Volatilities_Resets!$Q10-Volatilities_Resets!$O10)/50)*((Calculator!AU21-Calculator!AW$6)*10000)+Volatilities_Resets!$O10)),IF(AU21&gt;=AW$5,IF(AU21&lt;AX$5,(((Volatilities_Resets!$O10-Volatilities_Resets!$M10)/50)*((Calculator!AU21-Calculator!AW$5)*10000)+Volatilities_Resets!$M10)),IF(AU21&gt;=AW$4,IF(AU21&lt;AX$4,(((Volatilities_Resets!$M10-Volatilities_Resets!$K10)/50)*((Calculator!AU21-Calculator!AW$4)*10000)+Volatilities_Resets!$K10)),IF(AU21&gt;=AW$3,IF(AU21&lt;AX$3,(((Volatilities_Resets!$K10-Volatilities_Resets!$I10)/50)*((Calculator!AU21-Calculator!AW$3)*10000)+Volatilities_Resets!$I10)),IF(AU21&gt;=AW$2,IF(AU21&lt;AX$2,(((Volatilities_Resets!$I10-Volatilities_Resets!$G10)/50)*((Calculator!AU21-Calculator!AW$2)*10000)+Volatilities_Resets!$G10)),"Well, something broke...")))))))))))/10000</f>
        <v>1.3516E-2</v>
      </c>
      <c r="AX21" s="63">
        <f t="shared" ca="1" si="30"/>
        <v>30265.133986803423</v>
      </c>
      <c r="AY21" s="63">
        <f t="shared" ca="1" si="31"/>
        <v>1.2116331837074259E-3</v>
      </c>
      <c r="AZ21" s="63">
        <f t="shared" ca="1" si="46"/>
        <v>205781.83571483087</v>
      </c>
      <c r="BC21" s="63">
        <f t="shared" ca="1" si="8"/>
        <v>24.88737533051885</v>
      </c>
      <c r="BD21" s="63">
        <f ca="1">SUM($BC$15:BC21)</f>
        <v>73.466728223626319</v>
      </c>
      <c r="BF21" s="52">
        <f ca="1">EXP(-AVERAGE(AV$15:AV21)*AS21)</f>
        <v>0.96854596247272362</v>
      </c>
      <c r="BH21" s="52">
        <f t="shared" ca="1" si="32"/>
        <v>7</v>
      </c>
      <c r="BI21" s="71">
        <f t="shared" ca="1" si="33"/>
        <v>45373</v>
      </c>
      <c r="BJ21" s="71">
        <f t="shared" ca="1" si="9"/>
        <v>45404</v>
      </c>
      <c r="BK21" s="72">
        <f t="shared" ca="1" si="10"/>
        <v>31</v>
      </c>
      <c r="BL21" s="73">
        <f ca="1">SUM(BK$15:BK21)/360</f>
        <v>0.59166666666666667</v>
      </c>
      <c r="BM21" s="74">
        <f t="shared" si="11"/>
        <v>25000000</v>
      </c>
      <c r="BN21" s="59">
        <f t="shared" si="34"/>
        <v>0.05</v>
      </c>
      <c r="BO21" s="57">
        <f>Volatilities_Resets!$E10*0.01</f>
        <v>5.4095300000000006E-2</v>
      </c>
      <c r="BP21" s="61">
        <f>IF(BN21=BQ$11,Volatilities_Resets!$AA10,IF(BN21&gt;=BP$11,IF(BN21&lt;BQ$11,(((Volatilities_Resets!$AA10-Volatilities_Resets!$Y10)/50)*((Calculator!BN21-Calculator!BP$11)*10000)+Volatilities_Resets!$Y10)),IF(BN21&gt;=BP$10,IF(BN21&lt;BQ$10,(((Volatilities_Resets!$Y10-Volatilities_Resets!$W10)/50)*((Calculator!BN21-Calculator!BP$10)*10000)+Volatilities_Resets!$W10)),IF(BN21&gt;=BP$9,IF(BN21&lt;BQ$9,(((Volatilities_Resets!$W10-Volatilities_Resets!$U10)/50)*((Calculator!BN21-Calculator!BP$9)*10000)+Volatilities_Resets!$U10)),IF(BN21&gt;=BP$8,IF(BN21&lt;BQ$8,(((Volatilities_Resets!$U10-Volatilities_Resets!$S10)/50)*((Calculator!BN21-Calculator!BP$8)*10000)+Volatilities_Resets!$S10)),IF(BN21&gt;=BP$7,IF(BN21&lt;BQ$7,(((Volatilities_Resets!$S10-Volatilities_Resets!$Q10)/50)*((Calculator!BN21-Calculator!BP$7)*10000)+Volatilities_Resets!$Q10)),IF(BN21&gt;=BP$6,IF(BN21&lt;BQ$6,(((Volatilities_Resets!$Q10-Volatilities_Resets!$O10)/50)*((Calculator!BN21-Calculator!BP$6)*10000)+Volatilities_Resets!$O10)),IF(BN21&gt;=BP$5,IF(BN21&lt;BQ$5,(((Volatilities_Resets!$O10-Volatilities_Resets!$M10)/50)*((Calculator!BN21-Calculator!BP$5)*10000)+Volatilities_Resets!$M10)),IF(BN21&gt;=BP$4,IF(BN21&lt;BQ$4,(((Volatilities_Resets!$M10-Volatilities_Resets!$K10)/50)*((Calculator!BN21-Calculator!BP$4)*10000)+Volatilities_Resets!$K10)),IF(BN21&gt;=BP$3,IF(BN21&lt;BQ$3,(((Volatilities_Resets!$K10-Volatilities_Resets!$I10)/50)*((Calculator!BN21-Calculator!BP$3)*10000)+Volatilities_Resets!$I10)),IF(BN21&gt;=BP$2,IF(BN21&lt;BQ$2,(((Volatilities_Resets!$I10-Volatilities_Resets!$G10)/50)*((Calculator!BN21-Calculator!BP$2)*10000)+Volatilities_Resets!$G10)),"Well, something broke...")))))))))))/10000</f>
        <v>9.1650000000000013E-3</v>
      </c>
      <c r="BQ21" s="63">
        <f t="shared" ca="1" si="35"/>
        <v>11096.11983188641</v>
      </c>
      <c r="BR21" s="63">
        <f t="shared" ca="1" si="36"/>
        <v>4.4601069879172001E-4</v>
      </c>
      <c r="BS21" s="63">
        <f t="shared" ca="1" si="47"/>
        <v>67870.279738421246</v>
      </c>
      <c r="BV21" s="63">
        <f t="shared" ca="1" si="37"/>
        <v>52.444476071863541</v>
      </c>
      <c r="BW21" s="63">
        <f ca="1">SUM($BV$15:BV21)</f>
        <v>232.68019103908489</v>
      </c>
      <c r="BY21" s="52">
        <f ca="1">EXP(-AVERAGE(BO$15:BO21)*BL21)</f>
        <v>0.96854596247272362</v>
      </c>
      <c r="CA21" s="52">
        <f t="shared" ca="1" si="38"/>
        <v>7</v>
      </c>
      <c r="CB21" s="71">
        <f t="shared" ca="1" si="39"/>
        <v>45373</v>
      </c>
      <c r="CC21" s="71">
        <f t="shared" ca="1" si="12"/>
        <v>45404</v>
      </c>
      <c r="CD21" s="72">
        <f t="shared" ca="1" si="13"/>
        <v>31</v>
      </c>
      <c r="CE21" s="73">
        <f ca="1">SUM(CD$15:CD21)/360</f>
        <v>0.59166666666666667</v>
      </c>
      <c r="CF21" s="74">
        <f t="shared" si="14"/>
        <v>25000000</v>
      </c>
      <c r="CG21" s="59">
        <f t="shared" si="40"/>
        <v>0.06</v>
      </c>
      <c r="CH21" s="57">
        <f>Volatilities_Resets!$E10*0.01</f>
        <v>5.4095300000000006E-2</v>
      </c>
      <c r="CI21" s="61">
        <f>IF(CG21=CJ$11,Volatilities_Resets!$AA10,IF(CG21&gt;=CI$11,IF(CG21&lt;CJ$11,(((Volatilities_Resets!$AA10-Volatilities_Resets!$Y10)/50)*((Calculator!CG21-Calculator!CI$11)*10000)+Volatilities_Resets!$Y10)),IF(CG21&gt;=CI$10,IF(CG21&lt;CJ$10,(((Volatilities_Resets!$Y10-Volatilities_Resets!$W10)/50)*((Calculator!CG21-Calculator!CI$10)*10000)+Volatilities_Resets!$W10)),IF(CG21&gt;=CI$9,IF(CG21&lt;CJ$9,(((Volatilities_Resets!$W10-Volatilities_Resets!$U10)/50)*((Calculator!CG21-Calculator!CI$9)*10000)+Volatilities_Resets!$U10)),IF(CG21&gt;=CI$8,IF(CG21&lt;CJ$8,(((Volatilities_Resets!$U10-Volatilities_Resets!$S10)/50)*((Calculator!CG21-Calculator!CI$8)*10000)+Volatilities_Resets!$S10)),IF(CG21&gt;=CI$7,IF(CG21&lt;CJ$7,(((Volatilities_Resets!$S10-Volatilities_Resets!$Q10)/50)*((Calculator!CG21-Calculator!CI$7)*10000)+Volatilities_Resets!$Q10)),IF(CG21&gt;=CI$6,IF(CG21&lt;CJ$6,(((Volatilities_Resets!$Q10-Volatilities_Resets!$O10)/50)*((Calculator!CG21-Calculator!CI$6)*10000)+Volatilities_Resets!$O10)),IF(CG21&gt;=CI$5,IF(CG21&lt;CJ$5,(((Volatilities_Resets!$O10-Volatilities_Resets!$M10)/50)*((Calculator!CG21-Calculator!CI$5)*10000)+Volatilities_Resets!$M10)),IF(CG21&gt;=CI$4,IF(CG21&lt;CJ$4,(((Volatilities_Resets!$M10-Volatilities_Resets!$K10)/50)*((Calculator!CG21-Calculator!CI$4)*10000)+Volatilities_Resets!$K10)),IF(CG21&gt;=CI$3,IF(CG21&lt;CJ$3,(((Volatilities_Resets!$K10-Volatilities_Resets!$I10)/50)*((Calculator!CG21-Calculator!CI$3)*10000)+Volatilities_Resets!$I10)),IF(CG21&gt;=CI$2,IF(CG21&lt;CJ$2,(((Volatilities_Resets!$I10-Volatilities_Resets!$G10)/50)*((Calculator!CG21-Calculator!CI$2)*10000)+Volatilities_Resets!$G10)),"Well, something broke...")))))))))))/10000</f>
        <v>6.9010000000000009E-3</v>
      </c>
      <c r="CJ21" s="63">
        <f t="shared" ca="1" si="41"/>
        <v>741.09922948711346</v>
      </c>
      <c r="CK21" s="63">
        <f t="shared" ca="1" si="42"/>
        <v>3.103482824580045E-5</v>
      </c>
      <c r="CL21" s="63">
        <f t="shared" ca="1" si="48"/>
        <v>2256.3705346659531</v>
      </c>
      <c r="CO21" s="63">
        <f t="shared" ca="1" si="43"/>
        <v>33.67777332622147</v>
      </c>
      <c r="CP21" s="63">
        <f ca="1">SUM($CO$15:CO21)</f>
        <v>116.88985076514572</v>
      </c>
      <c r="CR21" s="52">
        <f ca="1">EXP(-AVERAGE(CH$15:CH21)*CE21)</f>
        <v>0.96854596247272362</v>
      </c>
      <c r="CT21"/>
      <c r="CU21"/>
      <c r="CV21"/>
      <c r="CW21"/>
      <c r="CX21"/>
      <c r="CY21"/>
      <c r="CZ21"/>
      <c r="DA21"/>
      <c r="DB21"/>
      <c r="DC21"/>
      <c r="DD21"/>
      <c r="DE21"/>
      <c r="DF21"/>
      <c r="DG21"/>
      <c r="DH21"/>
      <c r="DI21"/>
      <c r="DJ21"/>
      <c r="DK21"/>
      <c r="DL21"/>
    </row>
    <row r="22" spans="2:116" ht="15.75" customHeight="1" x14ac:dyDescent="0.2">
      <c r="B22" s="52">
        <v>1</v>
      </c>
      <c r="C22" s="52">
        <f t="shared" ca="1" si="15"/>
        <v>8</v>
      </c>
      <c r="D22" s="71">
        <f t="shared" ca="1" si="16"/>
        <v>45404</v>
      </c>
      <c r="E22" s="71">
        <f t="shared" ca="1" si="0"/>
        <v>45434</v>
      </c>
      <c r="F22" s="72">
        <f t="shared" ca="1" si="1"/>
        <v>30</v>
      </c>
      <c r="G22" s="73">
        <f ca="1">SUM($F$15:F22)/360</f>
        <v>0.67500000000000004</v>
      </c>
      <c r="H22" s="74">
        <f t="shared" si="2"/>
        <v>25000000</v>
      </c>
      <c r="I22" s="59">
        <f>IF('Cap Pricer'!$E$22=DataValidation!$C$2,'Cap Pricer'!$E$23,IF('Cap Pricer'!$E$22=DataValidation!$C$3,VLOOKUP($B22,'Cap Pricer'!$C$25:$E$31,3),""))</f>
        <v>0.02</v>
      </c>
      <c r="J22" s="57">
        <f>Volatilities_Resets!$E11*0.01</f>
        <v>5.3469800000000005E-2</v>
      </c>
      <c r="K22" s="61">
        <f>IF(I22=L$11,Volatilities_Resets!$AA11,IF(I22&gt;=K$11,IF(I22&lt;L$11,(((Volatilities_Resets!$AA11-Volatilities_Resets!$Y11)/50)*((Calculator!I22-Calculator!K$11)*10000)+Volatilities_Resets!$Y11)),IF(I22&gt;=K$10,IF(I22&lt;L$10,(((Volatilities_Resets!$Y11-Volatilities_Resets!$W11)/50)*((Calculator!I22-Calculator!K$10)*10000)+Volatilities_Resets!$W11)),IF(I22&gt;=K$9,IF(I22&lt;L$9,(((Volatilities_Resets!$W11-Volatilities_Resets!$U11)/50)*((Calculator!I22-Calculator!K$9)*10000)+Volatilities_Resets!$U11)),IF(I22&gt;=K$8,IF(I22&lt;L$8,(((Volatilities_Resets!$U11-Volatilities_Resets!$S11)/50)*((Calculator!I22-Calculator!K$8)*10000)+Volatilities_Resets!$S11)),IF(I22&gt;=K$7,IF(I22&lt;L$7,(((Volatilities_Resets!$S11-Volatilities_Resets!$Q11)/50)*((Calculator!I22-Calculator!K$7)*10000)+Volatilities_Resets!$Q11)),IF(I22&gt;=K$6,IF(I22&lt;L$6,(((Volatilities_Resets!$Q11-Volatilities_Resets!$O11)/50)*((Calculator!I22-Calculator!K$6)*10000)+Volatilities_Resets!$O11)),IF(I22&gt;=K$5,IF(I22&lt;L$5,(((Volatilities_Resets!$O11-Volatilities_Resets!$M11)/50)*((Calculator!I22-Calculator!K$5)*10000)+Volatilities_Resets!$M11)),IF(I22&gt;=K$4,IF(I22&lt;L$4,(((Volatilities_Resets!$M11-Volatilities_Resets!$K11)/50)*((Calculator!I22-Calculator!K$4)*10000)+Volatilities_Resets!$K11)),IF(I22&gt;=K$3,IF(I22&lt;L$3,(((Volatilities_Resets!$K11-Volatilities_Resets!$I11)/50)*((Calculator!I22-Calculator!K$3)*10000)+Volatilities_Resets!$I11)),IF(I22&gt;=K$2,IF(I22&lt;L$2,(((Volatilities_Resets!$I11-Volatilities_Resets!$G11)/50)*((Calculator!I22-Calculator!K$2)*10000)+Volatilities_Resets!$G11)),"Well, something broke...")))))))))))/10000</f>
        <v>2.2280999999999999E-2</v>
      </c>
      <c r="L22" s="47">
        <f t="shared" ca="1" si="17"/>
        <v>67723.890462078649</v>
      </c>
      <c r="M22" s="63">
        <f t="shared" ca="1" si="18"/>
        <v>2.7094543832525833E-3</v>
      </c>
      <c r="N22" s="63">
        <f t="shared" ca="1" si="44"/>
        <v>562369.05913770734</v>
      </c>
      <c r="Q22" s="63">
        <f t="shared" ca="1" si="19"/>
        <v>12.023229121527001</v>
      </c>
      <c r="R22" s="63">
        <f ca="1">SUM($Q$15:Q22)</f>
        <v>30.441320593784745</v>
      </c>
      <c r="T22" s="52">
        <f ca="1">EXP(-AVERAGE(J$15:J22)*G22)</f>
        <v>0.96424044826520283</v>
      </c>
      <c r="U22" s="57"/>
      <c r="V22" s="52">
        <f t="shared" ca="1" si="20"/>
        <v>8</v>
      </c>
      <c r="W22" s="71">
        <f t="shared" ca="1" si="21"/>
        <v>45404</v>
      </c>
      <c r="X22" s="71">
        <f t="shared" ca="1" si="3"/>
        <v>45434</v>
      </c>
      <c r="Y22" s="72">
        <f t="shared" ca="1" si="4"/>
        <v>30</v>
      </c>
      <c r="Z22" s="73">
        <f ca="1">SUM(Y$15:Y22)/360</f>
        <v>0.67500000000000004</v>
      </c>
      <c r="AA22" s="74">
        <f t="shared" si="22"/>
        <v>25000000</v>
      </c>
      <c r="AB22" s="59">
        <f t="shared" si="23"/>
        <v>0.03</v>
      </c>
      <c r="AC22" s="57">
        <f>Volatilities_Resets!$E11*0.01</f>
        <v>5.3469800000000005E-2</v>
      </c>
      <c r="AD22" s="61">
        <f>IF(AB22=AE$11,Volatilities_Resets!$AA11,IF(AB22&gt;=AD$11,IF(AB22&lt;AE$11,(((Volatilities_Resets!$AA11-Volatilities_Resets!$Y11)/50)*((Calculator!AB22-Calculator!AD$11)*10000)+Volatilities_Resets!$Y11)),IF(AB22&gt;=AD$10,IF(AB22&lt;AE$10,(((Volatilities_Resets!$Y11-Volatilities_Resets!$W11)/50)*((Calculator!AB22-Calculator!AD$10)*10000)+Volatilities_Resets!$W11)),IF(AB22&gt;=AD$9,IF(AB22&lt;AE$9,(((Volatilities_Resets!$W11-Volatilities_Resets!$U11)/50)*((Calculator!AB22-Calculator!AD$9)*10000)+Volatilities_Resets!$U11)),IF(AB22&gt;=AD$8,IF(AB22&lt;AE$8,(((Volatilities_Resets!$U11-Volatilities_Resets!$S11)/50)*((Calculator!AB22-Calculator!AD$8)*10000)+Volatilities_Resets!$S11)),IF(AB22&gt;=AD$7,IF(AB22&lt;AE$7,(((Volatilities_Resets!$S11-Volatilities_Resets!$Q11)/50)*((Calculator!AB22-Calculator!AD$7)*10000)+Volatilities_Resets!$Q11)),IF(AB22&gt;=AD$6,IF(AB22&lt;AE$6,(((Volatilities_Resets!$Q11-Volatilities_Resets!$O11)/50)*((Calculator!AB22-Calculator!AD$6)*10000)+Volatilities_Resets!$O11)),IF(AB22&gt;=AD$5,IF(AB22&lt;AE$5,(((Volatilities_Resets!$O11-Volatilities_Resets!$M11)/50)*((Calculator!AB22-Calculator!AD$5)*10000)+Volatilities_Resets!$M11)),IF(AB22&gt;=AD$4,IF(AB22&lt;AE$4,(((Volatilities_Resets!$M11-Volatilities_Resets!$K11)/50)*((Calculator!AB22-Calculator!AD$4)*10000)+Volatilities_Resets!$K11)),IF(AB22&gt;=AD$3,IF(AB22&lt;AE$3,(((Volatilities_Resets!$K11-Volatilities_Resets!$I11)/50)*((Calculator!AB22-Calculator!AD$3)*10000)+Volatilities_Resets!$I11)),IF(AB22&gt;=AD$2,IF(AB22&lt;AE$2,(((Volatilities_Resets!$I11-Volatilities_Resets!$G11)/50)*((Calculator!AB22-Calculator!AD$2)*10000)+Volatilities_Resets!$G11)),"Well, something broke...")))))))))))/10000</f>
        <v>1.8473E-2</v>
      </c>
      <c r="AE22" s="63">
        <f t="shared" ca="1" si="24"/>
        <v>47950.108752133587</v>
      </c>
      <c r="AF22" s="63">
        <f t="shared" ca="1" si="25"/>
        <v>1.9188062005930664E-3</v>
      </c>
      <c r="AG22" s="63">
        <f t="shared" ca="1" si="45"/>
        <v>397891.9684173509</v>
      </c>
      <c r="AJ22" s="63">
        <f t="shared" ca="1" si="26"/>
        <v>19.329417325212329</v>
      </c>
      <c r="AK22" s="63">
        <f ca="1">SUM($AJ$15:AJ22)</f>
        <v>55.127247333750901</v>
      </c>
      <c r="AM22" s="52">
        <f ca="1">EXP(-AVERAGE(AC$15:AC22)*Z22)</f>
        <v>0.96424044826520283</v>
      </c>
      <c r="AO22" s="52">
        <f t="shared" ca="1" si="27"/>
        <v>8</v>
      </c>
      <c r="AP22" s="71">
        <f t="shared" ca="1" si="28"/>
        <v>45404</v>
      </c>
      <c r="AQ22" s="71">
        <f t="shared" ca="1" si="5"/>
        <v>45434</v>
      </c>
      <c r="AR22" s="72">
        <f t="shared" ca="1" si="6"/>
        <v>30</v>
      </c>
      <c r="AS22" s="73">
        <f ca="1">SUM(AR$15:AR22)/360</f>
        <v>0.67500000000000004</v>
      </c>
      <c r="AT22" s="74">
        <f t="shared" si="7"/>
        <v>25000000</v>
      </c>
      <c r="AU22" s="59">
        <f t="shared" si="29"/>
        <v>0.04</v>
      </c>
      <c r="AV22" s="57">
        <f>Volatilities_Resets!$E11*0.01</f>
        <v>5.3469800000000005E-2</v>
      </c>
      <c r="AW22" s="61">
        <f>IF(AU22=AX$11,Volatilities_Resets!$AA11,IF(AU22&gt;=AW$11,IF(AU22&lt;AX$11,(((Volatilities_Resets!$AA11-Volatilities_Resets!$Y11)/50)*((Calculator!AU22-Calculator!AW$11)*10000)+Volatilities_Resets!$Y11)),IF(AU22&gt;=AW$10,IF(AU22&lt;AX$10,(((Volatilities_Resets!$Y11-Volatilities_Resets!$W11)/50)*((Calculator!AU22-Calculator!AW$10)*10000)+Volatilities_Resets!$W11)),IF(AU22&gt;=AW$9,IF(AU22&lt;AX$9,(((Volatilities_Resets!$W11-Volatilities_Resets!$U11)/50)*((Calculator!AU22-Calculator!AW$9)*10000)+Volatilities_Resets!$U11)),IF(AU22&gt;=AW$8,IF(AU22&lt;AX$8,(((Volatilities_Resets!$U11-Volatilities_Resets!$S11)/50)*((Calculator!AU22-Calculator!AW$8)*10000)+Volatilities_Resets!$S11)),IF(AU22&gt;=AW$7,IF(AU22&lt;AX$7,(((Volatilities_Resets!$S11-Volatilities_Resets!$Q11)/50)*((Calculator!AU22-Calculator!AW$7)*10000)+Volatilities_Resets!$Q11)),IF(AU22&gt;=AW$6,IF(AU22&lt;AX$6,(((Volatilities_Resets!$Q11-Volatilities_Resets!$O11)/50)*((Calculator!AU22-Calculator!AW$6)*10000)+Volatilities_Resets!$O11)),IF(AU22&gt;=AW$5,IF(AU22&lt;AX$5,(((Volatilities_Resets!$O11-Volatilities_Resets!$M11)/50)*((Calculator!AU22-Calculator!AW$5)*10000)+Volatilities_Resets!$M11)),IF(AU22&gt;=AW$4,IF(AU22&lt;AX$4,(((Volatilities_Resets!$M11-Volatilities_Resets!$K11)/50)*((Calculator!AU22-Calculator!AW$4)*10000)+Volatilities_Resets!$K11)),IF(AU22&gt;=AW$3,IF(AU22&lt;AX$3,(((Volatilities_Resets!$K11-Volatilities_Resets!$I11)/50)*((Calculator!AU22-Calculator!AW$3)*10000)+Volatilities_Resets!$I11)),IF(AU22&gt;=AW$2,IF(AU22&lt;AX$2,(((Volatilities_Resets!$I11-Volatilities_Resets!$G11)/50)*((Calculator!AU22-Calculator!AW$2)*10000)+Volatilities_Resets!$G11)),"Well, something broke...")))))))))))/10000</f>
        <v>1.3748000000000002E-2</v>
      </c>
      <c r="AX22" s="63">
        <f t="shared" ca="1" si="30"/>
        <v>28351.187333671238</v>
      </c>
      <c r="AY22" s="63">
        <f t="shared" ca="1" si="31"/>
        <v>1.1353476216845568E-3</v>
      </c>
      <c r="AZ22" s="63">
        <f t="shared" ca="1" si="46"/>
        <v>234133.0230485021</v>
      </c>
      <c r="BC22" s="63">
        <f t="shared" ca="1" si="8"/>
        <v>31.34090827882952</v>
      </c>
      <c r="BD22" s="63">
        <f ca="1">SUM($BC$15:BC22)</f>
        <v>104.80763650245584</v>
      </c>
      <c r="BF22" s="52">
        <f ca="1">EXP(-AVERAGE(AV$15:AV22)*AS22)</f>
        <v>0.96424044826520283</v>
      </c>
      <c r="BH22" s="52">
        <f t="shared" ca="1" si="32"/>
        <v>8</v>
      </c>
      <c r="BI22" s="71">
        <f t="shared" ca="1" si="33"/>
        <v>45404</v>
      </c>
      <c r="BJ22" s="71">
        <f t="shared" ca="1" si="9"/>
        <v>45434</v>
      </c>
      <c r="BK22" s="72">
        <f t="shared" ca="1" si="10"/>
        <v>30</v>
      </c>
      <c r="BL22" s="73">
        <f ca="1">SUM(BK$15:BK22)/360</f>
        <v>0.67500000000000004</v>
      </c>
      <c r="BM22" s="74">
        <f t="shared" si="11"/>
        <v>25000000</v>
      </c>
      <c r="BN22" s="59">
        <f t="shared" si="34"/>
        <v>0.05</v>
      </c>
      <c r="BO22" s="57">
        <f>Volatilities_Resets!$E11*0.01</f>
        <v>5.3469800000000005E-2</v>
      </c>
      <c r="BP22" s="61">
        <f>IF(BN22=BQ$11,Volatilities_Resets!$AA11,IF(BN22&gt;=BP$11,IF(BN22&lt;BQ$11,(((Volatilities_Resets!$AA11-Volatilities_Resets!$Y11)/50)*((Calculator!BN22-Calculator!BP$11)*10000)+Volatilities_Resets!$Y11)),IF(BN22&gt;=BP$10,IF(BN22&lt;BQ$10,(((Volatilities_Resets!$Y11-Volatilities_Resets!$W11)/50)*((Calculator!BN22-Calculator!BP$10)*10000)+Volatilities_Resets!$W11)),IF(BN22&gt;=BP$9,IF(BN22&lt;BQ$9,(((Volatilities_Resets!$W11-Volatilities_Resets!$U11)/50)*((Calculator!BN22-Calculator!BP$9)*10000)+Volatilities_Resets!$U11)),IF(BN22&gt;=BP$8,IF(BN22&lt;BQ$8,(((Volatilities_Resets!$U11-Volatilities_Resets!$S11)/50)*((Calculator!BN22-Calculator!BP$8)*10000)+Volatilities_Resets!$S11)),IF(BN22&gt;=BP$7,IF(BN22&lt;BQ$7,(((Volatilities_Resets!$S11-Volatilities_Resets!$Q11)/50)*((Calculator!BN22-Calculator!BP$7)*10000)+Volatilities_Resets!$Q11)),IF(BN22&gt;=BP$6,IF(BN22&lt;BQ$6,(((Volatilities_Resets!$Q11-Volatilities_Resets!$O11)/50)*((Calculator!BN22-Calculator!BP$6)*10000)+Volatilities_Resets!$O11)),IF(BN22&gt;=BP$5,IF(BN22&lt;BQ$5,(((Volatilities_Resets!$O11-Volatilities_Resets!$M11)/50)*((Calculator!BN22-Calculator!BP$5)*10000)+Volatilities_Resets!$M11)),IF(BN22&gt;=BP$4,IF(BN22&lt;BQ$4,(((Volatilities_Resets!$M11-Volatilities_Resets!$K11)/50)*((Calculator!BN22-Calculator!BP$4)*10000)+Volatilities_Resets!$K11)),IF(BN22&gt;=BP$3,IF(BN22&lt;BQ$3,(((Volatilities_Resets!$K11-Volatilities_Resets!$I11)/50)*((Calculator!BN22-Calculator!BP$3)*10000)+Volatilities_Resets!$I11)),IF(BN22&gt;=BP$2,IF(BN22&lt;BQ$2,(((Volatilities_Resets!$I11-Volatilities_Resets!$G11)/50)*((Calculator!BN22-Calculator!BP$2)*10000)+Volatilities_Resets!$G11)),"Well, something broke...")))))))))))/10000</f>
        <v>9.3769999999999999E-3</v>
      </c>
      <c r="BQ22" s="63">
        <f t="shared" ca="1" si="35"/>
        <v>10275.005617696646</v>
      </c>
      <c r="BR22" s="63">
        <f t="shared" ca="1" si="36"/>
        <v>4.133824475246822E-4</v>
      </c>
      <c r="BS22" s="63">
        <f t="shared" ca="1" si="47"/>
        <v>78145.285356117893</v>
      </c>
      <c r="BV22" s="63">
        <f t="shared" ca="1" si="37"/>
        <v>57.425889918865202</v>
      </c>
      <c r="BW22" s="63">
        <f ca="1">SUM($BV$15:BV22)</f>
        <v>290.1060809579501</v>
      </c>
      <c r="BY22" s="52">
        <f ca="1">EXP(-AVERAGE(BO$15:BO22)*BL22)</f>
        <v>0.96424044826520283</v>
      </c>
      <c r="CA22" s="52">
        <f t="shared" ca="1" si="38"/>
        <v>8</v>
      </c>
      <c r="CB22" s="71">
        <f t="shared" ca="1" si="39"/>
        <v>45404</v>
      </c>
      <c r="CC22" s="71">
        <f t="shared" ca="1" si="12"/>
        <v>45434</v>
      </c>
      <c r="CD22" s="72">
        <f t="shared" ca="1" si="13"/>
        <v>30</v>
      </c>
      <c r="CE22" s="73">
        <f ca="1">SUM(CD$15:CD22)/360</f>
        <v>0.67500000000000004</v>
      </c>
      <c r="CF22" s="74">
        <f t="shared" si="14"/>
        <v>25000000</v>
      </c>
      <c r="CG22" s="59">
        <f t="shared" si="40"/>
        <v>0.06</v>
      </c>
      <c r="CH22" s="57">
        <f>Volatilities_Resets!$E11*0.01</f>
        <v>5.3469800000000005E-2</v>
      </c>
      <c r="CI22" s="61">
        <f>IF(CG22=CJ$11,Volatilities_Resets!$AA11,IF(CG22&gt;=CI$11,IF(CG22&lt;CJ$11,(((Volatilities_Resets!$AA11-Volatilities_Resets!$Y11)/50)*((Calculator!CG22-Calculator!CI$11)*10000)+Volatilities_Resets!$Y11)),IF(CG22&gt;=CI$10,IF(CG22&lt;CJ$10,(((Volatilities_Resets!$Y11-Volatilities_Resets!$W11)/50)*((Calculator!CG22-Calculator!CI$10)*10000)+Volatilities_Resets!$W11)),IF(CG22&gt;=CI$9,IF(CG22&lt;CJ$9,(((Volatilities_Resets!$W11-Volatilities_Resets!$U11)/50)*((Calculator!CG22-Calculator!CI$9)*10000)+Volatilities_Resets!$U11)),IF(CG22&gt;=CI$8,IF(CG22&lt;CJ$8,(((Volatilities_Resets!$U11-Volatilities_Resets!$S11)/50)*((Calculator!CG22-Calculator!CI$8)*10000)+Volatilities_Resets!$S11)),IF(CG22&gt;=CI$7,IF(CG22&lt;CJ$7,(((Volatilities_Resets!$S11-Volatilities_Resets!$Q11)/50)*((Calculator!CG22-Calculator!CI$7)*10000)+Volatilities_Resets!$Q11)),IF(CG22&gt;=CI$6,IF(CG22&lt;CJ$6,(((Volatilities_Resets!$Q11-Volatilities_Resets!$O11)/50)*((Calculator!CG22-Calculator!CI$6)*10000)+Volatilities_Resets!$O11)),IF(CG22&gt;=CI$5,IF(CG22&lt;CJ$5,(((Volatilities_Resets!$O11-Volatilities_Resets!$M11)/50)*((Calculator!CG22-Calculator!CI$5)*10000)+Volatilities_Resets!$M11)),IF(CG22&gt;=CI$4,IF(CG22&lt;CJ$4,(((Volatilities_Resets!$M11-Volatilities_Resets!$K11)/50)*((Calculator!CG22-Calculator!CI$4)*10000)+Volatilities_Resets!$K11)),IF(CG22&gt;=CI$3,IF(CG22&lt;CJ$3,(((Volatilities_Resets!$K11-Volatilities_Resets!$I11)/50)*((Calculator!CG22-Calculator!CI$3)*10000)+Volatilities_Resets!$I11)),IF(CG22&gt;=CI$2,IF(CG22&lt;CJ$2,(((Volatilities_Resets!$I11-Volatilities_Resets!$G11)/50)*((Calculator!CG22-Calculator!CI$2)*10000)+Volatilities_Resets!$G11)),"Well, something broke...")))))))))))/10000</f>
        <v>6.8969999999999995E-3</v>
      </c>
      <c r="CJ22" s="63">
        <f t="shared" ca="1" si="41"/>
        <v>703.47182725742641</v>
      </c>
      <c r="CK22" s="63">
        <f t="shared" ca="1" si="42"/>
        <v>2.950755406329602E-5</v>
      </c>
      <c r="CL22" s="63">
        <f t="shared" ca="1" si="48"/>
        <v>2959.8423619233795</v>
      </c>
      <c r="CO22" s="63">
        <f t="shared" ca="1" si="43"/>
        <v>32.993438873414405</v>
      </c>
      <c r="CP22" s="63">
        <f ca="1">SUM($CO$15:CO22)</f>
        <v>149.88328963856014</v>
      </c>
      <c r="CR22" s="52">
        <f ca="1">EXP(-AVERAGE(CH$15:CH22)*CE22)</f>
        <v>0.96424044826520283</v>
      </c>
      <c r="CT22"/>
      <c r="CU22"/>
      <c r="CV22"/>
      <c r="CW22"/>
      <c r="CX22"/>
      <c r="CY22"/>
      <c r="CZ22"/>
      <c r="DA22"/>
      <c r="DB22"/>
      <c r="DC22"/>
      <c r="DD22"/>
      <c r="DE22"/>
      <c r="DF22"/>
      <c r="DG22"/>
      <c r="DH22"/>
      <c r="DI22"/>
      <c r="DJ22"/>
      <c r="DK22"/>
      <c r="DL22"/>
    </row>
    <row r="23" spans="2:116" ht="15.75" customHeight="1" x14ac:dyDescent="0.2">
      <c r="B23" s="52">
        <v>1</v>
      </c>
      <c r="C23" s="52">
        <f t="shared" ca="1" si="15"/>
        <v>9</v>
      </c>
      <c r="D23" s="71">
        <f t="shared" ca="1" si="16"/>
        <v>45434</v>
      </c>
      <c r="E23" s="71">
        <f t="shared" ca="1" si="0"/>
        <v>45465</v>
      </c>
      <c r="F23" s="72">
        <f t="shared" ca="1" si="1"/>
        <v>31</v>
      </c>
      <c r="G23" s="73">
        <f ca="1">SUM($F$15:F23)/360</f>
        <v>0.76111111111111107</v>
      </c>
      <c r="H23" s="74">
        <f t="shared" si="2"/>
        <v>25000000</v>
      </c>
      <c r="I23" s="59">
        <f>IF('Cap Pricer'!$E$22=DataValidation!$C$2,'Cap Pricer'!$E$23,IF('Cap Pricer'!$E$22=DataValidation!$C$3,VLOOKUP($B23,'Cap Pricer'!$C$25:$E$31,3),""))</f>
        <v>0.02</v>
      </c>
      <c r="J23" s="57">
        <f>Volatilities_Resets!$E12*0.01</f>
        <v>5.2872300000000004E-2</v>
      </c>
      <c r="K23" s="61">
        <f>IF(I23=L$11,Volatilities_Resets!$AA12,IF(I23&gt;=K$11,IF(I23&lt;L$11,(((Volatilities_Resets!$AA12-Volatilities_Resets!$Y12)/50)*((Calculator!I23-Calculator!K$11)*10000)+Volatilities_Resets!$Y12)),IF(I23&gt;=K$10,IF(I23&lt;L$10,(((Volatilities_Resets!$Y12-Volatilities_Resets!$W12)/50)*((Calculator!I23-Calculator!K$10)*10000)+Volatilities_Resets!$W12)),IF(I23&gt;=K$9,IF(I23&lt;L$9,(((Volatilities_Resets!$W12-Volatilities_Resets!$U12)/50)*((Calculator!I23-Calculator!K$9)*10000)+Volatilities_Resets!$U12)),IF(I23&gt;=K$8,IF(I23&lt;L$8,(((Volatilities_Resets!$U12-Volatilities_Resets!$S12)/50)*((Calculator!I23-Calculator!K$8)*10000)+Volatilities_Resets!$S12)),IF(I23&gt;=K$7,IF(I23&lt;L$7,(((Volatilities_Resets!$S12-Volatilities_Resets!$Q12)/50)*((Calculator!I23-Calculator!K$7)*10000)+Volatilities_Resets!$Q12)),IF(I23&gt;=K$6,IF(I23&lt;L$6,(((Volatilities_Resets!$Q12-Volatilities_Resets!$O12)/50)*((Calculator!I23-Calculator!K$6)*10000)+Volatilities_Resets!$O12)),IF(I23&gt;=K$5,IF(I23&lt;L$5,(((Volatilities_Resets!$O12-Volatilities_Resets!$M12)/50)*((Calculator!I23-Calculator!K$5)*10000)+Volatilities_Resets!$M12)),IF(I23&gt;=K$4,IF(I23&lt;L$4,(((Volatilities_Resets!$M12-Volatilities_Resets!$K12)/50)*((Calculator!I23-Calculator!K$4)*10000)+Volatilities_Resets!$K12)),IF(I23&gt;=K$3,IF(I23&lt;L$3,(((Volatilities_Resets!$K12-Volatilities_Resets!$I12)/50)*((Calculator!I23-Calculator!K$3)*10000)+Volatilities_Resets!$I12)),IF(I23&gt;=K$2,IF(I23&lt;L$2,(((Volatilities_Resets!$I12-Volatilities_Resets!$G12)/50)*((Calculator!I23-Calculator!K$2)*10000)+Volatilities_Resets!$G12)),"Well, something broke...")))))))))))/10000</f>
        <v>2.2461000000000002E-2</v>
      </c>
      <c r="L23" s="47">
        <f t="shared" ca="1" si="17"/>
        <v>68708.055949267553</v>
      </c>
      <c r="M23" s="63">
        <f t="shared" ca="1" si="18"/>
        <v>2.7490310281850757E-3</v>
      </c>
      <c r="N23" s="63">
        <f t="shared" ca="1" si="44"/>
        <v>631077.11508697493</v>
      </c>
      <c r="Q23" s="63">
        <f t="shared" ca="1" si="19"/>
        <v>17.008462248783967</v>
      </c>
      <c r="R23" s="63">
        <f ca="1">SUM($Q$15:Q23)</f>
        <v>47.449782842568709</v>
      </c>
      <c r="T23" s="52">
        <f ca="1">EXP(-AVERAGE(J$15:J23)*G23)</f>
        <v>0.95985875108729868</v>
      </c>
      <c r="U23" s="57"/>
      <c r="V23" s="52">
        <f t="shared" ca="1" si="20"/>
        <v>9</v>
      </c>
      <c r="W23" s="71">
        <f t="shared" ca="1" si="21"/>
        <v>45434</v>
      </c>
      <c r="X23" s="71">
        <f t="shared" ca="1" si="3"/>
        <v>45465</v>
      </c>
      <c r="Y23" s="72">
        <f t="shared" ca="1" si="4"/>
        <v>31</v>
      </c>
      <c r="Z23" s="73">
        <f ca="1">SUM(Y$15:Y23)/360</f>
        <v>0.76111111111111107</v>
      </c>
      <c r="AA23" s="74">
        <f t="shared" si="22"/>
        <v>25000000</v>
      </c>
      <c r="AB23" s="59">
        <f t="shared" si="23"/>
        <v>0.03</v>
      </c>
      <c r="AC23" s="57">
        <f>Volatilities_Resets!$E12*0.01</f>
        <v>5.2872300000000004E-2</v>
      </c>
      <c r="AD23" s="61">
        <f>IF(AB23=AE$11,Volatilities_Resets!$AA12,IF(AB23&gt;=AD$11,IF(AB23&lt;AE$11,(((Volatilities_Resets!$AA12-Volatilities_Resets!$Y12)/50)*((Calculator!AB23-Calculator!AD$11)*10000)+Volatilities_Resets!$Y12)),IF(AB23&gt;=AD$10,IF(AB23&lt;AE$10,(((Volatilities_Resets!$Y12-Volatilities_Resets!$W12)/50)*((Calculator!AB23-Calculator!AD$10)*10000)+Volatilities_Resets!$W12)),IF(AB23&gt;=AD$9,IF(AB23&lt;AE$9,(((Volatilities_Resets!$W12-Volatilities_Resets!$U12)/50)*((Calculator!AB23-Calculator!AD$9)*10000)+Volatilities_Resets!$U12)),IF(AB23&gt;=AD$8,IF(AB23&lt;AE$8,(((Volatilities_Resets!$U12-Volatilities_Resets!$S12)/50)*((Calculator!AB23-Calculator!AD$8)*10000)+Volatilities_Resets!$S12)),IF(AB23&gt;=AD$7,IF(AB23&lt;AE$7,(((Volatilities_Resets!$S12-Volatilities_Resets!$Q12)/50)*((Calculator!AB23-Calculator!AD$7)*10000)+Volatilities_Resets!$Q12)),IF(AB23&gt;=AD$6,IF(AB23&lt;AE$6,(((Volatilities_Resets!$Q12-Volatilities_Resets!$O12)/50)*((Calculator!AB23-Calculator!AD$6)*10000)+Volatilities_Resets!$O12)),IF(AB23&gt;=AD$5,IF(AB23&lt;AE$5,(((Volatilities_Resets!$O12-Volatilities_Resets!$M12)/50)*((Calculator!AB23-Calculator!AD$5)*10000)+Volatilities_Resets!$M12)),IF(AB23&gt;=AD$4,IF(AB23&lt;AE$4,(((Volatilities_Resets!$M12-Volatilities_Resets!$K12)/50)*((Calculator!AB23-Calculator!AD$4)*10000)+Volatilities_Resets!$K12)),IF(AB23&gt;=AD$3,IF(AB23&lt;AE$3,(((Volatilities_Resets!$K12-Volatilities_Resets!$I12)/50)*((Calculator!AB23-Calculator!AD$3)*10000)+Volatilities_Resets!$I12)),IF(AB23&gt;=AD$2,IF(AB23&lt;AE$2,(((Volatilities_Resets!$I12-Volatilities_Resets!$G12)/50)*((Calculator!AB23-Calculator!AD$2)*10000)+Volatilities_Resets!$G12)),"Well, something broke...")))))))))))/10000</f>
        <v>1.8665999999999999E-2</v>
      </c>
      <c r="AE23" s="63">
        <f t="shared" ca="1" si="24"/>
        <v>48484.04967536511</v>
      </c>
      <c r="AF23" s="63">
        <f t="shared" ca="1" si="25"/>
        <v>1.9404404643493889E-3</v>
      </c>
      <c r="AG23" s="63">
        <f t="shared" ca="1" si="45"/>
        <v>446376.018092716</v>
      </c>
      <c r="AJ23" s="63">
        <f t="shared" ca="1" si="26"/>
        <v>25.879647691057755</v>
      </c>
      <c r="AK23" s="63">
        <f ca="1">SUM($AJ$15:AJ23)</f>
        <v>81.006895024808657</v>
      </c>
      <c r="AM23" s="52">
        <f ca="1">EXP(-AVERAGE(AC$15:AC23)*Z23)</f>
        <v>0.95985875108729868</v>
      </c>
      <c r="AO23" s="52">
        <f t="shared" ca="1" si="27"/>
        <v>9</v>
      </c>
      <c r="AP23" s="71">
        <f t="shared" ca="1" si="28"/>
        <v>45434</v>
      </c>
      <c r="AQ23" s="71">
        <f t="shared" ca="1" si="5"/>
        <v>45465</v>
      </c>
      <c r="AR23" s="72">
        <f t="shared" ca="1" si="6"/>
        <v>31</v>
      </c>
      <c r="AS23" s="73">
        <f ca="1">SUM(AR$15:AR23)/360</f>
        <v>0.76111111111111107</v>
      </c>
      <c r="AT23" s="74">
        <f t="shared" si="7"/>
        <v>25000000</v>
      </c>
      <c r="AU23" s="59">
        <f t="shared" si="29"/>
        <v>0.04</v>
      </c>
      <c r="AV23" s="57">
        <f>Volatilities_Resets!$E12*0.01</f>
        <v>5.2872300000000004E-2</v>
      </c>
      <c r="AW23" s="61">
        <f>IF(AU23=AX$11,Volatilities_Resets!$AA12,IF(AU23&gt;=AW$11,IF(AU23&lt;AX$11,(((Volatilities_Resets!$AA12-Volatilities_Resets!$Y12)/50)*((Calculator!AU23-Calculator!AW$11)*10000)+Volatilities_Resets!$Y12)),IF(AU23&gt;=AW$10,IF(AU23&lt;AX$10,(((Volatilities_Resets!$Y12-Volatilities_Resets!$W12)/50)*((Calculator!AU23-Calculator!AW$10)*10000)+Volatilities_Resets!$W12)),IF(AU23&gt;=AW$9,IF(AU23&lt;AX$9,(((Volatilities_Resets!$W12-Volatilities_Resets!$U12)/50)*((Calculator!AU23-Calculator!AW$9)*10000)+Volatilities_Resets!$U12)),IF(AU23&gt;=AW$8,IF(AU23&lt;AX$8,(((Volatilities_Resets!$U12-Volatilities_Resets!$S12)/50)*((Calculator!AU23-Calculator!AW$8)*10000)+Volatilities_Resets!$S12)),IF(AU23&gt;=AW$7,IF(AU23&lt;AX$7,(((Volatilities_Resets!$S12-Volatilities_Resets!$Q12)/50)*((Calculator!AU23-Calculator!AW$7)*10000)+Volatilities_Resets!$Q12)),IF(AU23&gt;=AW$6,IF(AU23&lt;AX$6,(((Volatilities_Resets!$Q12-Volatilities_Resets!$O12)/50)*((Calculator!AU23-Calculator!AW$6)*10000)+Volatilities_Resets!$O12)),IF(AU23&gt;=AW$5,IF(AU23&lt;AX$5,(((Volatilities_Resets!$O12-Volatilities_Resets!$M12)/50)*((Calculator!AU23-Calculator!AW$5)*10000)+Volatilities_Resets!$M12)),IF(AU23&gt;=AW$4,IF(AU23&lt;AX$4,(((Volatilities_Resets!$M12-Volatilities_Resets!$K12)/50)*((Calculator!AU23-Calculator!AW$4)*10000)+Volatilities_Resets!$K12)),IF(AU23&gt;=AW$3,IF(AU23&lt;AX$3,(((Volatilities_Resets!$K12-Volatilities_Resets!$I12)/50)*((Calculator!AU23-Calculator!AW$3)*10000)+Volatilities_Resets!$I12)),IF(AU23&gt;=AW$2,IF(AU23&lt;AX$2,(((Volatilities_Resets!$I12-Volatilities_Resets!$G12)/50)*((Calculator!AU23-Calculator!AW$2)*10000)+Volatilities_Resets!$G12)),"Well, something broke...")))))))))))/10000</f>
        <v>1.3951E-2</v>
      </c>
      <c r="AX23" s="63">
        <f t="shared" ca="1" si="30"/>
        <v>28474.233858777072</v>
      </c>
      <c r="AY23" s="63">
        <f t="shared" ca="1" si="31"/>
        <v>1.1406203326399093E-3</v>
      </c>
      <c r="AZ23" s="63">
        <f t="shared" ca="1" si="46"/>
        <v>262607.2569072792</v>
      </c>
      <c r="BC23" s="63">
        <f t="shared" ca="1" si="8"/>
        <v>39.617648959629456</v>
      </c>
      <c r="BD23" s="63">
        <f ca="1">SUM($BC$15:BC23)</f>
        <v>144.4252854620853</v>
      </c>
      <c r="BF23" s="52">
        <f ca="1">EXP(-AVERAGE(AV$15:AV23)*AS23)</f>
        <v>0.95985875108729868</v>
      </c>
      <c r="BH23" s="52">
        <f t="shared" ca="1" si="32"/>
        <v>9</v>
      </c>
      <c r="BI23" s="71">
        <f t="shared" ca="1" si="33"/>
        <v>45434</v>
      </c>
      <c r="BJ23" s="71">
        <f t="shared" ca="1" si="9"/>
        <v>45465</v>
      </c>
      <c r="BK23" s="72">
        <f t="shared" ca="1" si="10"/>
        <v>31</v>
      </c>
      <c r="BL23" s="73">
        <f ca="1">SUM(BK$15:BK23)/360</f>
        <v>0.76111111111111107</v>
      </c>
      <c r="BM23" s="74">
        <f t="shared" si="11"/>
        <v>25000000</v>
      </c>
      <c r="BN23" s="59">
        <f t="shared" si="34"/>
        <v>0.05</v>
      </c>
      <c r="BO23" s="57">
        <f>Volatilities_Resets!$E12*0.01</f>
        <v>5.2872300000000004E-2</v>
      </c>
      <c r="BP23" s="61">
        <f>IF(BN23=BQ$11,Volatilities_Resets!$AA12,IF(BN23&gt;=BP$11,IF(BN23&lt;BQ$11,(((Volatilities_Resets!$AA12-Volatilities_Resets!$Y12)/50)*((Calculator!BN23-Calculator!BP$11)*10000)+Volatilities_Resets!$Y12)),IF(BN23&gt;=BP$10,IF(BN23&lt;BQ$10,(((Volatilities_Resets!$Y12-Volatilities_Resets!$W12)/50)*((Calculator!BN23-Calculator!BP$10)*10000)+Volatilities_Resets!$W12)),IF(BN23&gt;=BP$9,IF(BN23&lt;BQ$9,(((Volatilities_Resets!$W12-Volatilities_Resets!$U12)/50)*((Calculator!BN23-Calculator!BP$9)*10000)+Volatilities_Resets!$U12)),IF(BN23&gt;=BP$8,IF(BN23&lt;BQ$8,(((Volatilities_Resets!$U12-Volatilities_Resets!$S12)/50)*((Calculator!BN23-Calculator!BP$8)*10000)+Volatilities_Resets!$S12)),IF(BN23&gt;=BP$7,IF(BN23&lt;BQ$7,(((Volatilities_Resets!$S12-Volatilities_Resets!$Q12)/50)*((Calculator!BN23-Calculator!BP$7)*10000)+Volatilities_Resets!$Q12)),IF(BN23&gt;=BP$6,IF(BN23&lt;BQ$6,(((Volatilities_Resets!$Q12-Volatilities_Resets!$O12)/50)*((Calculator!BN23-Calculator!BP$6)*10000)+Volatilities_Resets!$O12)),IF(BN23&gt;=BP$5,IF(BN23&lt;BQ$5,(((Volatilities_Resets!$O12-Volatilities_Resets!$M12)/50)*((Calculator!BN23-Calculator!BP$5)*10000)+Volatilities_Resets!$M12)),IF(BN23&gt;=BP$4,IF(BN23&lt;BQ$4,(((Volatilities_Resets!$M12-Volatilities_Resets!$K12)/50)*((Calculator!BN23-Calculator!BP$4)*10000)+Volatilities_Resets!$K12)),IF(BN23&gt;=BP$3,IF(BN23&lt;BQ$3,(((Volatilities_Resets!$K12-Volatilities_Resets!$I12)/50)*((Calculator!BN23-Calculator!BP$3)*10000)+Volatilities_Resets!$I12)),IF(BN23&gt;=BP$2,IF(BN23&lt;BQ$2,(((Volatilities_Resets!$I12-Volatilities_Resets!$G12)/50)*((Calculator!BN23-Calculator!BP$2)*10000)+Volatilities_Resets!$G12)),"Well, something broke...")))))))))))/10000</f>
        <v>9.5670000000000009E-3</v>
      </c>
      <c r="BQ23" s="63">
        <f t="shared" ca="1" si="35"/>
        <v>10251.499631778977</v>
      </c>
      <c r="BR23" s="63">
        <f t="shared" ca="1" si="36"/>
        <v>4.1277298672229404E-4</v>
      </c>
      <c r="BS23" s="63">
        <f t="shared" ca="1" si="47"/>
        <v>88396.78498789687</v>
      </c>
      <c r="BV23" s="63">
        <f t="shared" ca="1" si="37"/>
        <v>65.10245461461048</v>
      </c>
      <c r="BW23" s="63">
        <f ca="1">SUM($BV$15:BV23)</f>
        <v>355.20853557256055</v>
      </c>
      <c r="BY23" s="52">
        <f ca="1">EXP(-AVERAGE(BO$15:BO23)*BL23)</f>
        <v>0.95985875108729868</v>
      </c>
      <c r="CA23" s="52">
        <f t="shared" ca="1" si="38"/>
        <v>9</v>
      </c>
      <c r="CB23" s="71">
        <f t="shared" ca="1" si="39"/>
        <v>45434</v>
      </c>
      <c r="CC23" s="71">
        <f t="shared" ca="1" si="12"/>
        <v>45465</v>
      </c>
      <c r="CD23" s="72">
        <f t="shared" ca="1" si="13"/>
        <v>31</v>
      </c>
      <c r="CE23" s="73">
        <f ca="1">SUM(CD$15:CD23)/360</f>
        <v>0.76111111111111107</v>
      </c>
      <c r="CF23" s="74">
        <f t="shared" si="14"/>
        <v>25000000</v>
      </c>
      <c r="CG23" s="59">
        <f t="shared" si="40"/>
        <v>0.06</v>
      </c>
      <c r="CH23" s="57">
        <f>Volatilities_Resets!$E12*0.01</f>
        <v>5.2872300000000004E-2</v>
      </c>
      <c r="CI23" s="61">
        <f>IF(CG23=CJ$11,Volatilities_Resets!$AA12,IF(CG23&gt;=CI$11,IF(CG23&lt;CJ$11,(((Volatilities_Resets!$AA12-Volatilities_Resets!$Y12)/50)*((Calculator!CG23-Calculator!CI$11)*10000)+Volatilities_Resets!$Y12)),IF(CG23&gt;=CI$10,IF(CG23&lt;CJ$10,(((Volatilities_Resets!$Y12-Volatilities_Resets!$W12)/50)*((Calculator!CG23-Calculator!CI$10)*10000)+Volatilities_Resets!$W12)),IF(CG23&gt;=CI$9,IF(CG23&lt;CJ$9,(((Volatilities_Resets!$W12-Volatilities_Resets!$U12)/50)*((Calculator!CG23-Calculator!CI$9)*10000)+Volatilities_Resets!$U12)),IF(CG23&gt;=CI$8,IF(CG23&lt;CJ$8,(((Volatilities_Resets!$U12-Volatilities_Resets!$S12)/50)*((Calculator!CG23-Calculator!CI$8)*10000)+Volatilities_Resets!$S12)),IF(CG23&gt;=CI$7,IF(CG23&lt;CJ$7,(((Volatilities_Resets!$S12-Volatilities_Resets!$Q12)/50)*((Calculator!CG23-Calculator!CI$7)*10000)+Volatilities_Resets!$Q12)),IF(CG23&gt;=CI$6,IF(CG23&lt;CJ$6,(((Volatilities_Resets!$Q12-Volatilities_Resets!$O12)/50)*((Calculator!CG23-Calculator!CI$6)*10000)+Volatilities_Resets!$O12)),IF(CG23&gt;=CI$5,IF(CG23&lt;CJ$5,(((Volatilities_Resets!$O12-Volatilities_Resets!$M12)/50)*((Calculator!CG23-Calculator!CI$5)*10000)+Volatilities_Resets!$M12)),IF(CG23&gt;=CI$4,IF(CG23&lt;CJ$4,(((Volatilities_Resets!$M12-Volatilities_Resets!$K12)/50)*((Calculator!CG23-Calculator!CI$4)*10000)+Volatilities_Resets!$K12)),IF(CG23&gt;=CI$3,IF(CG23&lt;CJ$3,(((Volatilities_Resets!$K12-Volatilities_Resets!$I12)/50)*((Calculator!CG23-Calculator!CI$3)*10000)+Volatilities_Resets!$I12)),IF(CG23&gt;=CI$2,IF(CG23&lt;CJ$2,(((Volatilities_Resets!$I12-Volatilities_Resets!$G12)/50)*((Calculator!CG23-Calculator!CI$2)*10000)+Volatilities_Resets!$G12)),"Well, something broke...")))))))))))/10000</f>
        <v>6.9109999999999996E-3</v>
      </c>
      <c r="CJ23" s="63">
        <f t="shared" ca="1" si="41"/>
        <v>724.89188817604042</v>
      </c>
      <c r="CK23" s="63">
        <f t="shared" ca="1" si="42"/>
        <v>3.0440320082211631E-5</v>
      </c>
      <c r="CL23" s="63">
        <f t="shared" ca="1" si="48"/>
        <v>3684.73425009942</v>
      </c>
      <c r="CO23" s="63">
        <f t="shared" ca="1" si="43"/>
        <v>34.666367962263919</v>
      </c>
      <c r="CP23" s="63">
        <f ca="1">SUM($CO$15:CO23)</f>
        <v>184.54965760082405</v>
      </c>
      <c r="CR23" s="52">
        <f ca="1">EXP(-AVERAGE(CH$15:CH23)*CE23)</f>
        <v>0.95985875108729868</v>
      </c>
      <c r="CT23"/>
      <c r="CU23"/>
      <c r="CV23"/>
      <c r="CW23"/>
      <c r="CX23"/>
      <c r="CY23"/>
      <c r="CZ23"/>
      <c r="DA23"/>
      <c r="DB23"/>
      <c r="DC23"/>
      <c r="DD23"/>
      <c r="DE23"/>
      <c r="DF23"/>
      <c r="DG23"/>
      <c r="DH23"/>
      <c r="DI23"/>
      <c r="DJ23"/>
      <c r="DK23"/>
      <c r="DL23"/>
    </row>
    <row r="24" spans="2:116" ht="15.75" customHeight="1" x14ac:dyDescent="0.2">
      <c r="B24" s="52">
        <v>1</v>
      </c>
      <c r="C24" s="52">
        <f t="shared" ca="1" si="15"/>
        <v>10</v>
      </c>
      <c r="D24" s="71">
        <f t="shared" ca="1" si="16"/>
        <v>45465</v>
      </c>
      <c r="E24" s="71">
        <f t="shared" ca="1" si="0"/>
        <v>45495</v>
      </c>
      <c r="F24" s="72">
        <f t="shared" ca="1" si="1"/>
        <v>30</v>
      </c>
      <c r="G24" s="73">
        <f ca="1">SUM($F$15:F24)/360</f>
        <v>0.84444444444444444</v>
      </c>
      <c r="H24" s="74">
        <f t="shared" si="2"/>
        <v>25000000</v>
      </c>
      <c r="I24" s="59">
        <f>IF('Cap Pricer'!$E$22=DataValidation!$C$2,'Cap Pricer'!$E$23,IF('Cap Pricer'!$E$22=DataValidation!$C$3,VLOOKUP($B24,'Cap Pricer'!$C$25:$E$31,3),""))</f>
        <v>0.02</v>
      </c>
      <c r="J24" s="57">
        <f>Volatilities_Resets!$E13*0.01</f>
        <v>5.2385599999999997E-2</v>
      </c>
      <c r="K24" s="61">
        <f>IF(I24=L$11,Volatilities_Resets!$AA13,IF(I24&gt;=K$11,IF(I24&lt;L$11,(((Volatilities_Resets!$AA13-Volatilities_Resets!$Y13)/50)*((Calculator!I24-Calculator!K$11)*10000)+Volatilities_Resets!$Y13)),IF(I24&gt;=K$10,IF(I24&lt;L$10,(((Volatilities_Resets!$Y13-Volatilities_Resets!$W13)/50)*((Calculator!I24-Calculator!K$10)*10000)+Volatilities_Resets!$W13)),IF(I24&gt;=K$9,IF(I24&lt;L$9,(((Volatilities_Resets!$W13-Volatilities_Resets!$U13)/50)*((Calculator!I24-Calculator!K$9)*10000)+Volatilities_Resets!$U13)),IF(I24&gt;=K$8,IF(I24&lt;L$8,(((Volatilities_Resets!$U13-Volatilities_Resets!$S13)/50)*((Calculator!I24-Calculator!K$8)*10000)+Volatilities_Resets!$S13)),IF(I24&gt;=K$7,IF(I24&lt;L$7,(((Volatilities_Resets!$S13-Volatilities_Resets!$Q13)/50)*((Calculator!I24-Calculator!K$7)*10000)+Volatilities_Resets!$Q13)),IF(I24&gt;=K$6,IF(I24&lt;L$6,(((Volatilities_Resets!$Q13-Volatilities_Resets!$O13)/50)*((Calculator!I24-Calculator!K$6)*10000)+Volatilities_Resets!$O13)),IF(I24&gt;=K$5,IF(I24&lt;L$5,(((Volatilities_Resets!$O13-Volatilities_Resets!$M13)/50)*((Calculator!I24-Calculator!K$5)*10000)+Volatilities_Resets!$M13)),IF(I24&gt;=K$4,IF(I24&lt;L$4,(((Volatilities_Resets!$M13-Volatilities_Resets!$K13)/50)*((Calculator!I24-Calculator!K$4)*10000)+Volatilities_Resets!$K13)),IF(I24&gt;=K$3,IF(I24&lt;L$3,(((Volatilities_Resets!$K13-Volatilities_Resets!$I13)/50)*((Calculator!I24-Calculator!K$3)*10000)+Volatilities_Resets!$I13)),IF(I24&gt;=K$2,IF(I24&lt;L$2,(((Volatilities_Resets!$I13-Volatilities_Resets!$G13)/50)*((Calculator!I24-Calculator!K$2)*10000)+Volatilities_Resets!$G13)),"Well, something broke...")))))))))))/10000</f>
        <v>2.2093999999999999E-2</v>
      </c>
      <c r="L24" s="47">
        <f t="shared" ca="1" si="17"/>
        <v>65430.063715670076</v>
      </c>
      <c r="M24" s="63">
        <f t="shared" ca="1" si="18"/>
        <v>2.6180253793197227E-3</v>
      </c>
      <c r="N24" s="63">
        <f t="shared" ca="1" si="44"/>
        <v>696507.17880264495</v>
      </c>
      <c r="Q24" s="63">
        <f t="shared" ca="1" si="19"/>
        <v>19.659054135095268</v>
      </c>
      <c r="R24" s="63">
        <f ca="1">SUM($Q$15:Q24)</f>
        <v>67.108836977663969</v>
      </c>
      <c r="T24" s="52">
        <f ca="1">EXP(-AVERAGE(J$15:J24)*G24)</f>
        <v>0.95567918427259835</v>
      </c>
      <c r="U24" s="57"/>
      <c r="V24" s="52">
        <f t="shared" ca="1" si="20"/>
        <v>10</v>
      </c>
      <c r="W24" s="71">
        <f t="shared" ca="1" si="21"/>
        <v>45465</v>
      </c>
      <c r="X24" s="71">
        <f t="shared" ca="1" si="3"/>
        <v>45495</v>
      </c>
      <c r="Y24" s="72">
        <f t="shared" ca="1" si="4"/>
        <v>30</v>
      </c>
      <c r="Z24" s="73">
        <f ca="1">SUM(Y$15:Y24)/360</f>
        <v>0.84444444444444444</v>
      </c>
      <c r="AA24" s="74">
        <f t="shared" si="22"/>
        <v>25000000</v>
      </c>
      <c r="AB24" s="59">
        <f t="shared" si="23"/>
        <v>0.03</v>
      </c>
      <c r="AC24" s="57">
        <f>Volatilities_Resets!$E13*0.01</f>
        <v>5.2385599999999997E-2</v>
      </c>
      <c r="AD24" s="61">
        <f>IF(AB24=AE$11,Volatilities_Resets!$AA13,IF(AB24&gt;=AD$11,IF(AB24&lt;AE$11,(((Volatilities_Resets!$AA13-Volatilities_Resets!$Y13)/50)*((Calculator!AB24-Calculator!AD$11)*10000)+Volatilities_Resets!$Y13)),IF(AB24&gt;=AD$10,IF(AB24&lt;AE$10,(((Volatilities_Resets!$Y13-Volatilities_Resets!$W13)/50)*((Calculator!AB24-Calculator!AD$10)*10000)+Volatilities_Resets!$W13)),IF(AB24&gt;=AD$9,IF(AB24&lt;AE$9,(((Volatilities_Resets!$W13-Volatilities_Resets!$U13)/50)*((Calculator!AB24-Calculator!AD$9)*10000)+Volatilities_Resets!$U13)),IF(AB24&gt;=AD$8,IF(AB24&lt;AE$8,(((Volatilities_Resets!$U13-Volatilities_Resets!$S13)/50)*((Calculator!AB24-Calculator!AD$8)*10000)+Volatilities_Resets!$S13)),IF(AB24&gt;=AD$7,IF(AB24&lt;AE$7,(((Volatilities_Resets!$S13-Volatilities_Resets!$Q13)/50)*((Calculator!AB24-Calculator!AD$7)*10000)+Volatilities_Resets!$Q13)),IF(AB24&gt;=AD$6,IF(AB24&lt;AE$6,(((Volatilities_Resets!$Q13-Volatilities_Resets!$O13)/50)*((Calculator!AB24-Calculator!AD$6)*10000)+Volatilities_Resets!$O13)),IF(AB24&gt;=AD$5,IF(AB24&lt;AE$5,(((Volatilities_Resets!$O13-Volatilities_Resets!$M13)/50)*((Calculator!AB24-Calculator!AD$5)*10000)+Volatilities_Resets!$M13)),IF(AB24&gt;=AD$4,IF(AB24&lt;AE$4,(((Volatilities_Resets!$M13-Volatilities_Resets!$K13)/50)*((Calculator!AB24-Calculator!AD$4)*10000)+Volatilities_Resets!$K13)),IF(AB24&gt;=AD$3,IF(AB24&lt;AE$3,(((Volatilities_Resets!$K13-Volatilities_Resets!$I13)/50)*((Calculator!AB24-Calculator!AD$3)*10000)+Volatilities_Resets!$I13)),IF(AB24&gt;=AD$2,IF(AB24&lt;AE$2,(((Volatilities_Resets!$I13-Volatilities_Resets!$G13)/50)*((Calculator!AB24-Calculator!AD$2)*10000)+Volatilities_Resets!$G13)),"Well, something broke...")))))))))))/10000</f>
        <v>1.8261000000000003E-2</v>
      </c>
      <c r="AE24" s="63">
        <f t="shared" ca="1" si="24"/>
        <v>45984.070395314913</v>
      </c>
      <c r="AF24" s="63">
        <f t="shared" ca="1" si="25"/>
        <v>1.8405678576544136E-3</v>
      </c>
      <c r="AG24" s="63">
        <f t="shared" ca="1" si="45"/>
        <v>492360.08848803089</v>
      </c>
      <c r="AJ24" s="63">
        <f t="shared" ca="1" si="26"/>
        <v>28.790835110053365</v>
      </c>
      <c r="AK24" s="63">
        <f ca="1">SUM($AJ$15:AJ24)</f>
        <v>109.79773013486202</v>
      </c>
      <c r="AM24" s="52">
        <f ca="1">EXP(-AVERAGE(AC$15:AC24)*Z24)</f>
        <v>0.95567918427259835</v>
      </c>
      <c r="AO24" s="52">
        <f t="shared" ca="1" si="27"/>
        <v>10</v>
      </c>
      <c r="AP24" s="71">
        <f t="shared" ca="1" si="28"/>
        <v>45465</v>
      </c>
      <c r="AQ24" s="71">
        <f t="shared" ca="1" si="5"/>
        <v>45495</v>
      </c>
      <c r="AR24" s="72">
        <f t="shared" ca="1" si="6"/>
        <v>30</v>
      </c>
      <c r="AS24" s="73">
        <f ca="1">SUM(AR$15:AR24)/360</f>
        <v>0.84444444444444444</v>
      </c>
      <c r="AT24" s="74">
        <f t="shared" si="7"/>
        <v>25000000</v>
      </c>
      <c r="AU24" s="59">
        <f t="shared" si="29"/>
        <v>0.04</v>
      </c>
      <c r="AV24" s="57">
        <f>Volatilities_Resets!$E13*0.01</f>
        <v>5.2385599999999997E-2</v>
      </c>
      <c r="AW24" s="61">
        <f>IF(AU24=AX$11,Volatilities_Resets!$AA13,IF(AU24&gt;=AW$11,IF(AU24&lt;AX$11,(((Volatilities_Resets!$AA13-Volatilities_Resets!$Y13)/50)*((Calculator!AU24-Calculator!AW$11)*10000)+Volatilities_Resets!$Y13)),IF(AU24&gt;=AW$10,IF(AU24&lt;AX$10,(((Volatilities_Resets!$Y13-Volatilities_Resets!$W13)/50)*((Calculator!AU24-Calculator!AW$10)*10000)+Volatilities_Resets!$W13)),IF(AU24&gt;=AW$9,IF(AU24&lt;AX$9,(((Volatilities_Resets!$W13-Volatilities_Resets!$U13)/50)*((Calculator!AU24-Calculator!AW$9)*10000)+Volatilities_Resets!$U13)),IF(AU24&gt;=AW$8,IF(AU24&lt;AX$8,(((Volatilities_Resets!$U13-Volatilities_Resets!$S13)/50)*((Calculator!AU24-Calculator!AW$8)*10000)+Volatilities_Resets!$S13)),IF(AU24&gt;=AW$7,IF(AU24&lt;AX$7,(((Volatilities_Resets!$S13-Volatilities_Resets!$Q13)/50)*((Calculator!AU24-Calculator!AW$7)*10000)+Volatilities_Resets!$Q13)),IF(AU24&gt;=AW$6,IF(AU24&lt;AX$6,(((Volatilities_Resets!$Q13-Volatilities_Resets!$O13)/50)*((Calculator!AU24-Calculator!AW$6)*10000)+Volatilities_Resets!$O13)),IF(AU24&gt;=AW$5,IF(AU24&lt;AX$5,(((Volatilities_Resets!$O13-Volatilities_Resets!$M13)/50)*((Calculator!AU24-Calculator!AW$5)*10000)+Volatilities_Resets!$M13)),IF(AU24&gt;=AW$4,IF(AU24&lt;AX$4,(((Volatilities_Resets!$M13-Volatilities_Resets!$K13)/50)*((Calculator!AU24-Calculator!AW$4)*10000)+Volatilities_Resets!$K13)),IF(AU24&gt;=AW$3,IF(AU24&lt;AX$3,(((Volatilities_Resets!$K13-Volatilities_Resets!$I13)/50)*((Calculator!AU24-Calculator!AW$3)*10000)+Volatilities_Resets!$I13)),IF(AU24&gt;=AW$2,IF(AU24&lt;AX$2,(((Volatilities_Resets!$I13-Volatilities_Resets!$G13)/50)*((Calculator!AU24-Calculator!AW$2)*10000)+Volatilities_Resets!$G13)),"Well, something broke...")))))))))))/10000</f>
        <v>1.3509E-2</v>
      </c>
      <c r="AX24" s="63">
        <f t="shared" ca="1" si="30"/>
        <v>26727.900135780605</v>
      </c>
      <c r="AY24" s="63">
        <f t="shared" ca="1" si="31"/>
        <v>1.0708973912246711E-3</v>
      </c>
      <c r="AZ24" s="63">
        <f t="shared" ca="1" si="46"/>
        <v>289335.15704305982</v>
      </c>
      <c r="BC24" s="63">
        <f t="shared" ca="1" si="8"/>
        <v>42.560833048901941</v>
      </c>
      <c r="BD24" s="63">
        <f ca="1">SUM($BC$15:BC24)</f>
        <v>186.98611851098724</v>
      </c>
      <c r="BF24" s="52">
        <f ca="1">EXP(-AVERAGE(AV$15:AV24)*AS24)</f>
        <v>0.95567918427259835</v>
      </c>
      <c r="BH24" s="52">
        <f t="shared" ca="1" si="32"/>
        <v>10</v>
      </c>
      <c r="BI24" s="71">
        <f t="shared" ca="1" si="33"/>
        <v>45465</v>
      </c>
      <c r="BJ24" s="71">
        <f t="shared" ca="1" si="9"/>
        <v>45495</v>
      </c>
      <c r="BK24" s="72">
        <f t="shared" ca="1" si="10"/>
        <v>30</v>
      </c>
      <c r="BL24" s="73">
        <f ca="1">SUM(BK$15:BK24)/360</f>
        <v>0.84444444444444444</v>
      </c>
      <c r="BM24" s="74">
        <f t="shared" si="11"/>
        <v>25000000</v>
      </c>
      <c r="BN24" s="59">
        <f t="shared" si="34"/>
        <v>0.05</v>
      </c>
      <c r="BO24" s="57">
        <f>Volatilities_Resets!$E13*0.01</f>
        <v>5.2385599999999997E-2</v>
      </c>
      <c r="BP24" s="61">
        <f>IF(BN24=BQ$11,Volatilities_Resets!$AA13,IF(BN24&gt;=BP$11,IF(BN24&lt;BQ$11,(((Volatilities_Resets!$AA13-Volatilities_Resets!$Y13)/50)*((Calculator!BN24-Calculator!BP$11)*10000)+Volatilities_Resets!$Y13)),IF(BN24&gt;=BP$10,IF(BN24&lt;BQ$10,(((Volatilities_Resets!$Y13-Volatilities_Resets!$W13)/50)*((Calculator!BN24-Calculator!BP$10)*10000)+Volatilities_Resets!$W13)),IF(BN24&gt;=BP$9,IF(BN24&lt;BQ$9,(((Volatilities_Resets!$W13-Volatilities_Resets!$U13)/50)*((Calculator!BN24-Calculator!BP$9)*10000)+Volatilities_Resets!$U13)),IF(BN24&gt;=BP$8,IF(BN24&lt;BQ$8,(((Volatilities_Resets!$U13-Volatilities_Resets!$S13)/50)*((Calculator!BN24-Calculator!BP$8)*10000)+Volatilities_Resets!$S13)),IF(BN24&gt;=BP$7,IF(BN24&lt;BQ$7,(((Volatilities_Resets!$S13-Volatilities_Resets!$Q13)/50)*((Calculator!BN24-Calculator!BP$7)*10000)+Volatilities_Resets!$Q13)),IF(BN24&gt;=BP$6,IF(BN24&lt;BQ$6,(((Volatilities_Resets!$Q13-Volatilities_Resets!$O13)/50)*((Calculator!BN24-Calculator!BP$6)*10000)+Volatilities_Resets!$O13)),IF(BN24&gt;=BP$5,IF(BN24&lt;BQ$5,(((Volatilities_Resets!$O13-Volatilities_Resets!$M13)/50)*((Calculator!BN24-Calculator!BP$5)*10000)+Volatilities_Resets!$M13)),IF(BN24&gt;=BP$4,IF(BN24&lt;BQ$4,(((Volatilities_Resets!$M13-Volatilities_Resets!$K13)/50)*((Calculator!BN24-Calculator!BP$4)*10000)+Volatilities_Resets!$K13)),IF(BN24&gt;=BP$3,IF(BN24&lt;BQ$3,(((Volatilities_Resets!$K13-Volatilities_Resets!$I13)/50)*((Calculator!BN24-Calculator!BP$3)*10000)+Volatilities_Resets!$I13)),IF(BN24&gt;=BP$2,IF(BN24&lt;BQ$2,(((Volatilities_Resets!$I13-Volatilities_Resets!$G13)/50)*((Calculator!BN24-Calculator!BP$2)*10000)+Volatilities_Resets!$G13)),"Well, something broke...")))))))))))/10000</f>
        <v>9.1489999999999991E-3</v>
      </c>
      <c r="BQ24" s="63">
        <f t="shared" ca="1" si="35"/>
        <v>9319.8124522553335</v>
      </c>
      <c r="BR24" s="63">
        <f t="shared" ca="1" si="36"/>
        <v>3.7559813792541267E-4</v>
      </c>
      <c r="BS24" s="63">
        <f t="shared" ca="1" si="47"/>
        <v>97716.597440152196</v>
      </c>
      <c r="BV24" s="63">
        <f t="shared" ca="1" si="37"/>
        <v>67.032289726650475</v>
      </c>
      <c r="BW24" s="63">
        <f ca="1">SUM($BV$15:BV24)</f>
        <v>422.240825299211</v>
      </c>
      <c r="BY24" s="52">
        <f ca="1">EXP(-AVERAGE(BO$15:BO24)*BL24)</f>
        <v>0.95567918427259835</v>
      </c>
      <c r="CA24" s="52">
        <f t="shared" ca="1" si="38"/>
        <v>10</v>
      </c>
      <c r="CB24" s="71">
        <f t="shared" ca="1" si="39"/>
        <v>45465</v>
      </c>
      <c r="CC24" s="71">
        <f t="shared" ca="1" si="12"/>
        <v>45495</v>
      </c>
      <c r="CD24" s="72">
        <f t="shared" ca="1" si="13"/>
        <v>30</v>
      </c>
      <c r="CE24" s="73">
        <f ca="1">SUM(CD$15:CD24)/360</f>
        <v>0.84444444444444444</v>
      </c>
      <c r="CF24" s="74">
        <f t="shared" si="14"/>
        <v>25000000</v>
      </c>
      <c r="CG24" s="59">
        <f t="shared" si="40"/>
        <v>0.06</v>
      </c>
      <c r="CH24" s="57">
        <f>Volatilities_Resets!$E13*0.01</f>
        <v>5.2385599999999997E-2</v>
      </c>
      <c r="CI24" s="61">
        <f>IF(CG24=CJ$11,Volatilities_Resets!$AA13,IF(CG24&gt;=CI$11,IF(CG24&lt;CJ$11,(((Volatilities_Resets!$AA13-Volatilities_Resets!$Y13)/50)*((Calculator!CG24-Calculator!CI$11)*10000)+Volatilities_Resets!$Y13)),IF(CG24&gt;=CI$10,IF(CG24&lt;CJ$10,(((Volatilities_Resets!$Y13-Volatilities_Resets!$W13)/50)*((Calculator!CG24-Calculator!CI$10)*10000)+Volatilities_Resets!$W13)),IF(CG24&gt;=CI$9,IF(CG24&lt;CJ$9,(((Volatilities_Resets!$W13-Volatilities_Resets!$U13)/50)*((Calculator!CG24-Calculator!CI$9)*10000)+Volatilities_Resets!$U13)),IF(CG24&gt;=CI$8,IF(CG24&lt;CJ$8,(((Volatilities_Resets!$U13-Volatilities_Resets!$S13)/50)*((Calculator!CG24-Calculator!CI$8)*10000)+Volatilities_Resets!$S13)),IF(CG24&gt;=CI$7,IF(CG24&lt;CJ$7,(((Volatilities_Resets!$S13-Volatilities_Resets!$Q13)/50)*((Calculator!CG24-Calculator!CI$7)*10000)+Volatilities_Resets!$Q13)),IF(CG24&gt;=CI$6,IF(CG24&lt;CJ$6,(((Volatilities_Resets!$Q13-Volatilities_Resets!$O13)/50)*((Calculator!CG24-Calculator!CI$6)*10000)+Volatilities_Resets!$O13)),IF(CG24&gt;=CI$5,IF(CG24&lt;CJ$5,(((Volatilities_Resets!$O13-Volatilities_Resets!$M13)/50)*((Calculator!CG24-Calculator!CI$5)*10000)+Volatilities_Resets!$M13)),IF(CG24&gt;=CI$4,IF(CG24&lt;CJ$4,(((Volatilities_Resets!$M13-Volatilities_Resets!$K13)/50)*((Calculator!CG24-Calculator!CI$4)*10000)+Volatilities_Resets!$K13)),IF(CG24&gt;=CI$3,IF(CG24&lt;CJ$3,(((Volatilities_Resets!$K13-Volatilities_Resets!$I13)/50)*((Calculator!CG24-Calculator!CI$3)*10000)+Volatilities_Resets!$I13)),IF(CG24&gt;=CI$2,IF(CG24&lt;CJ$2,(((Volatilities_Resets!$I13-Volatilities_Resets!$G13)/50)*((Calculator!CG24-Calculator!CI$2)*10000)+Volatilities_Resets!$G13)),"Well, something broke...")))))))))))/10000</f>
        <v>6.9519999999999998E-3</v>
      </c>
      <c r="CJ24" s="63">
        <f t="shared" ca="1" si="41"/>
        <v>725.52308755804086</v>
      </c>
      <c r="CK24" s="63">
        <f t="shared" ca="1" si="42"/>
        <v>3.0470437585123604E-5</v>
      </c>
      <c r="CL24" s="63">
        <f t="shared" ca="1" si="48"/>
        <v>4410.257337657461</v>
      </c>
      <c r="CO24" s="63">
        <f t="shared" ca="1" si="43"/>
        <v>34.631760906095721</v>
      </c>
      <c r="CP24" s="63">
        <f ca="1">SUM($CO$15:CO24)</f>
        <v>219.18141850691978</v>
      </c>
      <c r="CR24" s="52">
        <f ca="1">EXP(-AVERAGE(CH$15:CH24)*CE24)</f>
        <v>0.95567918427259835</v>
      </c>
      <c r="CT24"/>
      <c r="CU24"/>
      <c r="CV24"/>
      <c r="CW24"/>
      <c r="CX24"/>
      <c r="CY24"/>
      <c r="CZ24"/>
      <c r="DA24"/>
      <c r="DB24"/>
      <c r="DC24"/>
      <c r="DD24"/>
      <c r="DE24"/>
      <c r="DF24"/>
      <c r="DG24"/>
      <c r="DH24"/>
      <c r="DI24"/>
      <c r="DJ24"/>
      <c r="DK24"/>
      <c r="DL24"/>
    </row>
    <row r="25" spans="2:116" ht="15.75" customHeight="1" x14ac:dyDescent="0.2">
      <c r="B25" s="52">
        <v>1</v>
      </c>
      <c r="C25" s="52">
        <f t="shared" ca="1" si="15"/>
        <v>11</v>
      </c>
      <c r="D25" s="71">
        <f t="shared" ca="1" si="16"/>
        <v>45495</v>
      </c>
      <c r="E25" s="71">
        <f t="shared" ca="1" si="0"/>
        <v>45526</v>
      </c>
      <c r="F25" s="72">
        <f t="shared" ca="1" si="1"/>
        <v>31</v>
      </c>
      <c r="G25" s="73">
        <f ca="1">SUM($F$15:F25)/360</f>
        <v>0.93055555555555558</v>
      </c>
      <c r="H25" s="74">
        <f t="shared" si="2"/>
        <v>25000000</v>
      </c>
      <c r="I25" s="59">
        <f>IF('Cap Pricer'!$E$22=DataValidation!$C$2,'Cap Pricer'!$E$23,IF('Cap Pricer'!$E$22=DataValidation!$C$3,VLOOKUP($B25,'Cap Pricer'!$C$25:$E$31,3),""))</f>
        <v>0.02</v>
      </c>
      <c r="J25" s="57">
        <f>Volatilities_Resets!$E14*0.01</f>
        <v>5.1511599999999998E-2</v>
      </c>
      <c r="K25" s="61">
        <f>IF(I25=L$11,Volatilities_Resets!$AA14,IF(I25&gt;=K$11,IF(I25&lt;L$11,(((Volatilities_Resets!$AA14-Volatilities_Resets!$Y14)/50)*((Calculator!I25-Calculator!K$11)*10000)+Volatilities_Resets!$Y14)),IF(I25&gt;=K$10,IF(I25&lt;L$10,(((Volatilities_Resets!$Y14-Volatilities_Resets!$W14)/50)*((Calculator!I25-Calculator!K$10)*10000)+Volatilities_Resets!$W14)),IF(I25&gt;=K$9,IF(I25&lt;L$9,(((Volatilities_Resets!$W14-Volatilities_Resets!$U14)/50)*((Calculator!I25-Calculator!K$9)*10000)+Volatilities_Resets!$U14)),IF(I25&gt;=K$8,IF(I25&lt;L$8,(((Volatilities_Resets!$U14-Volatilities_Resets!$S14)/50)*((Calculator!I25-Calculator!K$8)*10000)+Volatilities_Resets!$S14)),IF(I25&gt;=K$7,IF(I25&lt;L$7,(((Volatilities_Resets!$S14-Volatilities_Resets!$Q14)/50)*((Calculator!I25-Calculator!K$7)*10000)+Volatilities_Resets!$Q14)),IF(I25&gt;=K$6,IF(I25&lt;L$6,(((Volatilities_Resets!$Q14-Volatilities_Resets!$O14)/50)*((Calculator!I25-Calculator!K$6)*10000)+Volatilities_Resets!$O14)),IF(I25&gt;=K$5,IF(I25&lt;L$5,(((Volatilities_Resets!$O14-Volatilities_Resets!$M14)/50)*((Calculator!I25-Calculator!K$5)*10000)+Volatilities_Resets!$M14)),IF(I25&gt;=K$4,IF(I25&lt;L$4,(((Volatilities_Resets!$M14-Volatilities_Resets!$K14)/50)*((Calculator!I25-Calculator!K$4)*10000)+Volatilities_Resets!$K14)),IF(I25&gt;=K$3,IF(I25&lt;L$3,(((Volatilities_Resets!$K14-Volatilities_Resets!$I14)/50)*((Calculator!I25-Calculator!K$3)*10000)+Volatilities_Resets!$I14)),IF(I25&gt;=K$2,IF(I25&lt;L$2,(((Volatilities_Resets!$I14-Volatilities_Resets!$G14)/50)*((Calculator!I25-Calculator!K$2)*10000)+Volatilities_Resets!$G14)),"Well, something broke...")))))))))))/10000</f>
        <v>2.2037000000000001E-2</v>
      </c>
      <c r="L25" s="47">
        <f t="shared" ca="1" si="17"/>
        <v>65872.05444769375</v>
      </c>
      <c r="M25" s="63">
        <f t="shared" ca="1" si="18"/>
        <v>2.6359383617509226E-3</v>
      </c>
      <c r="N25" s="63">
        <f t="shared" ca="1" si="44"/>
        <v>762379.2332503387</v>
      </c>
      <c r="Q25" s="63">
        <f t="shared" ca="1" si="19"/>
        <v>25.122555622860961</v>
      </c>
      <c r="R25" s="63">
        <f ca="1">SUM($Q$15:Q25)</f>
        <v>92.231392600524927</v>
      </c>
      <c r="T25" s="52">
        <f ca="1">EXP(-AVERAGE(J$15:J25)*G25)</f>
        <v>0.95144631439908856</v>
      </c>
      <c r="U25" s="57"/>
      <c r="V25" s="52">
        <f t="shared" ca="1" si="20"/>
        <v>11</v>
      </c>
      <c r="W25" s="71">
        <f t="shared" ca="1" si="21"/>
        <v>45495</v>
      </c>
      <c r="X25" s="71">
        <f t="shared" ca="1" si="3"/>
        <v>45526</v>
      </c>
      <c r="Y25" s="72">
        <f t="shared" ca="1" si="4"/>
        <v>31</v>
      </c>
      <c r="Z25" s="73">
        <f ca="1">SUM(Y$15:Y25)/360</f>
        <v>0.93055555555555558</v>
      </c>
      <c r="AA25" s="74">
        <f t="shared" si="22"/>
        <v>25000000</v>
      </c>
      <c r="AB25" s="59">
        <f t="shared" si="23"/>
        <v>0.03</v>
      </c>
      <c r="AC25" s="57">
        <f>Volatilities_Resets!$E14*0.01</f>
        <v>5.1511599999999998E-2</v>
      </c>
      <c r="AD25" s="61">
        <f>IF(AB25=AE$11,Volatilities_Resets!$AA14,IF(AB25&gt;=AD$11,IF(AB25&lt;AE$11,(((Volatilities_Resets!$AA14-Volatilities_Resets!$Y14)/50)*((Calculator!AB25-Calculator!AD$11)*10000)+Volatilities_Resets!$Y14)),IF(AB25&gt;=AD$10,IF(AB25&lt;AE$10,(((Volatilities_Resets!$Y14-Volatilities_Resets!$W14)/50)*((Calculator!AB25-Calculator!AD$10)*10000)+Volatilities_Resets!$W14)),IF(AB25&gt;=AD$9,IF(AB25&lt;AE$9,(((Volatilities_Resets!$W14-Volatilities_Resets!$U14)/50)*((Calculator!AB25-Calculator!AD$9)*10000)+Volatilities_Resets!$U14)),IF(AB25&gt;=AD$8,IF(AB25&lt;AE$8,(((Volatilities_Resets!$U14-Volatilities_Resets!$S14)/50)*((Calculator!AB25-Calculator!AD$8)*10000)+Volatilities_Resets!$S14)),IF(AB25&gt;=AD$7,IF(AB25&lt;AE$7,(((Volatilities_Resets!$S14-Volatilities_Resets!$Q14)/50)*((Calculator!AB25-Calculator!AD$7)*10000)+Volatilities_Resets!$Q14)),IF(AB25&gt;=AD$6,IF(AB25&lt;AE$6,(((Volatilities_Resets!$Q14-Volatilities_Resets!$O14)/50)*((Calculator!AB25-Calculator!AD$6)*10000)+Volatilities_Resets!$O14)),IF(AB25&gt;=AD$5,IF(AB25&lt;AE$5,(((Volatilities_Resets!$O14-Volatilities_Resets!$M14)/50)*((Calculator!AB25-Calculator!AD$5)*10000)+Volatilities_Resets!$M14)),IF(AB25&gt;=AD$4,IF(AB25&lt;AE$4,(((Volatilities_Resets!$M14-Volatilities_Resets!$K14)/50)*((Calculator!AB25-Calculator!AD$4)*10000)+Volatilities_Resets!$K14)),IF(AB25&gt;=AD$3,IF(AB25&lt;AE$3,(((Volatilities_Resets!$K14-Volatilities_Resets!$I14)/50)*((Calculator!AB25-Calculator!AD$3)*10000)+Volatilities_Resets!$I14)),IF(AB25&gt;=AD$2,IF(AB25&lt;AE$2,(((Volatilities_Resets!$I14-Volatilities_Resets!$G14)/50)*((Calculator!AB25-Calculator!AD$2)*10000)+Volatilities_Resets!$G14)),"Well, something broke...")))))))))))/10000</f>
        <v>1.8697999999999999E-2</v>
      </c>
      <c r="AE25" s="63">
        <f t="shared" ca="1" si="24"/>
        <v>46165.383823667413</v>
      </c>
      <c r="AF25" s="63">
        <f t="shared" ca="1" si="25"/>
        <v>1.8481695458308692E-3</v>
      </c>
      <c r="AG25" s="63">
        <f t="shared" ca="1" si="45"/>
        <v>538525.47231169825</v>
      </c>
      <c r="AJ25" s="63">
        <f t="shared" ca="1" si="26"/>
        <v>36.968277287787309</v>
      </c>
      <c r="AK25" s="63">
        <f ca="1">SUM($AJ$15:AJ25)</f>
        <v>146.76600742264932</v>
      </c>
      <c r="AM25" s="52">
        <f ca="1">EXP(-AVERAGE(AC$15:AC25)*Z25)</f>
        <v>0.95144631439908856</v>
      </c>
      <c r="AO25" s="52">
        <f t="shared" ca="1" si="27"/>
        <v>11</v>
      </c>
      <c r="AP25" s="71">
        <f t="shared" ca="1" si="28"/>
        <v>45495</v>
      </c>
      <c r="AQ25" s="71">
        <f t="shared" ca="1" si="5"/>
        <v>45526</v>
      </c>
      <c r="AR25" s="72">
        <f t="shared" ca="1" si="6"/>
        <v>31</v>
      </c>
      <c r="AS25" s="73">
        <f ca="1">SUM(AR$15:AR25)/360</f>
        <v>0.93055555555555558</v>
      </c>
      <c r="AT25" s="74">
        <f t="shared" si="7"/>
        <v>25000000</v>
      </c>
      <c r="AU25" s="59">
        <f t="shared" si="29"/>
        <v>0.04</v>
      </c>
      <c r="AV25" s="57">
        <f>Volatilities_Resets!$E14*0.01</f>
        <v>5.1511599999999998E-2</v>
      </c>
      <c r="AW25" s="61">
        <f>IF(AU25=AX$11,Volatilities_Resets!$AA14,IF(AU25&gt;=AW$11,IF(AU25&lt;AX$11,(((Volatilities_Resets!$AA14-Volatilities_Resets!$Y14)/50)*((Calculator!AU25-Calculator!AW$11)*10000)+Volatilities_Resets!$Y14)),IF(AU25&gt;=AW$10,IF(AU25&lt;AX$10,(((Volatilities_Resets!$Y14-Volatilities_Resets!$W14)/50)*((Calculator!AU25-Calculator!AW$10)*10000)+Volatilities_Resets!$W14)),IF(AU25&gt;=AW$9,IF(AU25&lt;AX$9,(((Volatilities_Resets!$W14-Volatilities_Resets!$U14)/50)*((Calculator!AU25-Calculator!AW$9)*10000)+Volatilities_Resets!$U14)),IF(AU25&gt;=AW$8,IF(AU25&lt;AX$8,(((Volatilities_Resets!$U14-Volatilities_Resets!$S14)/50)*((Calculator!AU25-Calculator!AW$8)*10000)+Volatilities_Resets!$S14)),IF(AU25&gt;=AW$7,IF(AU25&lt;AX$7,(((Volatilities_Resets!$S14-Volatilities_Resets!$Q14)/50)*((Calculator!AU25-Calculator!AW$7)*10000)+Volatilities_Resets!$Q14)),IF(AU25&gt;=AW$6,IF(AU25&lt;AX$6,(((Volatilities_Resets!$Q14-Volatilities_Resets!$O14)/50)*((Calculator!AU25-Calculator!AW$6)*10000)+Volatilities_Resets!$O14)),IF(AU25&gt;=AW$5,IF(AU25&lt;AX$5,(((Volatilities_Resets!$O14-Volatilities_Resets!$M14)/50)*((Calculator!AU25-Calculator!AW$5)*10000)+Volatilities_Resets!$M14)),IF(AU25&gt;=AW$4,IF(AU25&lt;AX$4,(((Volatilities_Resets!$M14-Volatilities_Resets!$K14)/50)*((Calculator!AU25-Calculator!AW$4)*10000)+Volatilities_Resets!$K14)),IF(AU25&gt;=AW$3,IF(AU25&lt;AX$3,(((Volatilities_Resets!$K14-Volatilities_Resets!$I14)/50)*((Calculator!AU25-Calculator!AW$3)*10000)+Volatilities_Resets!$I14)),IF(AU25&gt;=AW$2,IF(AU25&lt;AX$2,(((Volatilities_Resets!$I14-Volatilities_Resets!$G14)/50)*((Calculator!AU25-Calculator!AW$2)*10000)+Volatilities_Resets!$G14)),"Well, something broke...")))))))))))/10000</f>
        <v>1.4574E-2</v>
      </c>
      <c r="AX25" s="63">
        <f t="shared" ca="1" si="30"/>
        <v>26926.847124170865</v>
      </c>
      <c r="AY25" s="63">
        <f t="shared" ca="1" si="31"/>
        <v>1.0793339926491127E-3</v>
      </c>
      <c r="AZ25" s="63">
        <f t="shared" ca="1" si="46"/>
        <v>316262.00416723068</v>
      </c>
      <c r="BC25" s="63">
        <f t="shared" ca="1" si="8"/>
        <v>53.759278111212858</v>
      </c>
      <c r="BD25" s="63">
        <f ca="1">SUM($BC$15:BC25)</f>
        <v>240.7453966222001</v>
      </c>
      <c r="BF25" s="52">
        <f ca="1">EXP(-AVERAGE(AV$15:AV25)*AS25)</f>
        <v>0.95144631439908856</v>
      </c>
      <c r="BH25" s="52">
        <f t="shared" ca="1" si="32"/>
        <v>11</v>
      </c>
      <c r="BI25" s="71">
        <f t="shared" ca="1" si="33"/>
        <v>45495</v>
      </c>
      <c r="BJ25" s="71">
        <f t="shared" ca="1" si="9"/>
        <v>45526</v>
      </c>
      <c r="BK25" s="72">
        <f t="shared" ca="1" si="10"/>
        <v>31</v>
      </c>
      <c r="BL25" s="73">
        <f ca="1">SUM(BK$15:BK25)/360</f>
        <v>0.93055555555555558</v>
      </c>
      <c r="BM25" s="74">
        <f t="shared" si="11"/>
        <v>25000000</v>
      </c>
      <c r="BN25" s="59">
        <f t="shared" si="34"/>
        <v>0.05</v>
      </c>
      <c r="BO25" s="57">
        <f>Volatilities_Resets!$E14*0.01</f>
        <v>5.1511599999999998E-2</v>
      </c>
      <c r="BP25" s="61">
        <f>IF(BN25=BQ$11,Volatilities_Resets!$AA14,IF(BN25&gt;=BP$11,IF(BN25&lt;BQ$11,(((Volatilities_Resets!$AA14-Volatilities_Resets!$Y14)/50)*((Calculator!BN25-Calculator!BP$11)*10000)+Volatilities_Resets!$Y14)),IF(BN25&gt;=BP$10,IF(BN25&lt;BQ$10,(((Volatilities_Resets!$Y14-Volatilities_Resets!$W14)/50)*((Calculator!BN25-Calculator!BP$10)*10000)+Volatilities_Resets!$W14)),IF(BN25&gt;=BP$9,IF(BN25&lt;BQ$9,(((Volatilities_Resets!$W14-Volatilities_Resets!$U14)/50)*((Calculator!BN25-Calculator!BP$9)*10000)+Volatilities_Resets!$U14)),IF(BN25&gt;=BP$8,IF(BN25&lt;BQ$8,(((Volatilities_Resets!$U14-Volatilities_Resets!$S14)/50)*((Calculator!BN25-Calculator!BP$8)*10000)+Volatilities_Resets!$S14)),IF(BN25&gt;=BP$7,IF(BN25&lt;BQ$7,(((Volatilities_Resets!$S14-Volatilities_Resets!$Q14)/50)*((Calculator!BN25-Calculator!BP$7)*10000)+Volatilities_Resets!$Q14)),IF(BN25&gt;=BP$6,IF(BN25&lt;BQ$6,(((Volatilities_Resets!$Q14-Volatilities_Resets!$O14)/50)*((Calculator!BN25-Calculator!BP$6)*10000)+Volatilities_Resets!$O14)),IF(BN25&gt;=BP$5,IF(BN25&lt;BQ$5,(((Volatilities_Resets!$O14-Volatilities_Resets!$M14)/50)*((Calculator!BN25-Calculator!BP$5)*10000)+Volatilities_Resets!$M14)),IF(BN25&gt;=BP$4,IF(BN25&lt;BQ$4,(((Volatilities_Resets!$M14-Volatilities_Resets!$K14)/50)*((Calculator!BN25-Calculator!BP$4)*10000)+Volatilities_Resets!$K14)),IF(BN25&gt;=BP$3,IF(BN25&lt;BQ$3,(((Volatilities_Resets!$K14-Volatilities_Resets!$I14)/50)*((Calculator!BN25-Calculator!BP$3)*10000)+Volatilities_Resets!$I14)),IF(BN25&gt;=BP$2,IF(BN25&lt;BQ$2,(((Volatilities_Resets!$I14-Volatilities_Resets!$G14)/50)*((Calculator!BN25-Calculator!BP$2)*10000)+Volatilities_Resets!$G14)),"Well, something broke...")))))))))))/10000</f>
        <v>1.0983E-2</v>
      </c>
      <c r="BQ25" s="63">
        <f t="shared" ca="1" si="35"/>
        <v>10293.398405809237</v>
      </c>
      <c r="BR25" s="63">
        <f t="shared" ca="1" si="36"/>
        <v>4.1485729985327814E-4</v>
      </c>
      <c r="BS25" s="63">
        <f t="shared" ca="1" si="47"/>
        <v>108009.99584596143</v>
      </c>
      <c r="BV25" s="63">
        <f t="shared" ca="1" si="37"/>
        <v>74.245247825322934</v>
      </c>
      <c r="BW25" s="63">
        <f ca="1">SUM($BV$15:BV25)</f>
        <v>496.48607312453396</v>
      </c>
      <c r="BY25" s="52">
        <f ca="1">EXP(-AVERAGE(BO$15:BO25)*BL25)</f>
        <v>0.95144631439908856</v>
      </c>
      <c r="CA25" s="52">
        <f t="shared" ca="1" si="38"/>
        <v>11</v>
      </c>
      <c r="CB25" s="71">
        <f t="shared" ca="1" si="39"/>
        <v>45495</v>
      </c>
      <c r="CC25" s="71">
        <f t="shared" ca="1" si="12"/>
        <v>45526</v>
      </c>
      <c r="CD25" s="72">
        <f t="shared" ca="1" si="13"/>
        <v>31</v>
      </c>
      <c r="CE25" s="73">
        <f ca="1">SUM(CD$15:CD25)/360</f>
        <v>0.93055555555555558</v>
      </c>
      <c r="CF25" s="74">
        <f t="shared" si="14"/>
        <v>25000000</v>
      </c>
      <c r="CG25" s="59">
        <f t="shared" si="40"/>
        <v>0.06</v>
      </c>
      <c r="CH25" s="57">
        <f>Volatilities_Resets!$E14*0.01</f>
        <v>5.1511599999999998E-2</v>
      </c>
      <c r="CI25" s="61">
        <f>IF(CG25=CJ$11,Volatilities_Resets!$AA14,IF(CG25&gt;=CI$11,IF(CG25&lt;CJ$11,(((Volatilities_Resets!$AA14-Volatilities_Resets!$Y14)/50)*((Calculator!CG25-Calculator!CI$11)*10000)+Volatilities_Resets!$Y14)),IF(CG25&gt;=CI$10,IF(CG25&lt;CJ$10,(((Volatilities_Resets!$Y14-Volatilities_Resets!$W14)/50)*((Calculator!CG25-Calculator!CI$10)*10000)+Volatilities_Resets!$W14)),IF(CG25&gt;=CI$9,IF(CG25&lt;CJ$9,(((Volatilities_Resets!$W14-Volatilities_Resets!$U14)/50)*((Calculator!CG25-Calculator!CI$9)*10000)+Volatilities_Resets!$U14)),IF(CG25&gt;=CI$8,IF(CG25&lt;CJ$8,(((Volatilities_Resets!$U14-Volatilities_Resets!$S14)/50)*((Calculator!CG25-Calculator!CI$8)*10000)+Volatilities_Resets!$S14)),IF(CG25&gt;=CI$7,IF(CG25&lt;CJ$7,(((Volatilities_Resets!$S14-Volatilities_Resets!$Q14)/50)*((Calculator!CG25-Calculator!CI$7)*10000)+Volatilities_Resets!$Q14)),IF(CG25&gt;=CI$6,IF(CG25&lt;CJ$6,(((Volatilities_Resets!$Q14-Volatilities_Resets!$O14)/50)*((Calculator!CG25-Calculator!CI$6)*10000)+Volatilities_Resets!$O14)),IF(CG25&gt;=CI$5,IF(CG25&lt;CJ$5,(((Volatilities_Resets!$O14-Volatilities_Resets!$M14)/50)*((Calculator!CG25-Calculator!CI$5)*10000)+Volatilities_Resets!$M14)),IF(CG25&gt;=CI$4,IF(CG25&lt;CJ$4,(((Volatilities_Resets!$M14-Volatilities_Resets!$K14)/50)*((Calculator!CG25-Calculator!CI$4)*10000)+Volatilities_Resets!$K14)),IF(CG25&gt;=CI$3,IF(CG25&lt;CJ$3,(((Volatilities_Resets!$K14-Volatilities_Resets!$I14)/50)*((Calculator!CG25-Calculator!CI$3)*10000)+Volatilities_Resets!$I14)),IF(CG25&gt;=CI$2,IF(CG25&lt;CJ$2,(((Volatilities_Resets!$I14-Volatilities_Resets!$G14)/50)*((Calculator!CG25-Calculator!CI$2)*10000)+Volatilities_Resets!$G14)),"Well, something broke...")))))))))))/10000</f>
        <v>9.0730000000000012E-3</v>
      </c>
      <c r="CJ25" s="63">
        <f t="shared" ca="1" si="41"/>
        <v>1581.3386348854292</v>
      </c>
      <c r="CK25" s="63">
        <f t="shared" ca="1" si="42"/>
        <v>6.5233719243215784E-5</v>
      </c>
      <c r="CL25" s="63">
        <f t="shared" ca="1" si="48"/>
        <v>5991.5959725428902</v>
      </c>
      <c r="CO25" s="63">
        <f t="shared" ca="1" si="43"/>
        <v>47.10072773393636</v>
      </c>
      <c r="CP25" s="63">
        <f ca="1">SUM($CO$15:CO25)</f>
        <v>266.28214624085615</v>
      </c>
      <c r="CR25" s="52">
        <f ca="1">EXP(-AVERAGE(CH$15:CH25)*CE25)</f>
        <v>0.95144631439908856</v>
      </c>
      <c r="CT25"/>
      <c r="CU25"/>
      <c r="CV25"/>
      <c r="CW25"/>
      <c r="CX25"/>
      <c r="CY25"/>
      <c r="CZ25"/>
      <c r="DA25"/>
      <c r="DB25"/>
      <c r="DC25"/>
      <c r="DD25"/>
      <c r="DE25"/>
      <c r="DF25"/>
      <c r="DG25"/>
      <c r="DH25"/>
      <c r="DI25"/>
      <c r="DJ25"/>
      <c r="DK25"/>
      <c r="DL25"/>
    </row>
    <row r="26" spans="2:116" ht="15.75" customHeight="1" x14ac:dyDescent="0.2">
      <c r="B26" s="52">
        <v>1</v>
      </c>
      <c r="C26" s="75">
        <f t="shared" ca="1" si="15"/>
        <v>12</v>
      </c>
      <c r="D26" s="76">
        <f t="shared" ca="1" si="16"/>
        <v>45526</v>
      </c>
      <c r="E26" s="76">
        <f t="shared" ca="1" si="0"/>
        <v>45557</v>
      </c>
      <c r="F26" s="77">
        <f t="shared" ca="1" si="1"/>
        <v>31</v>
      </c>
      <c r="G26" s="78">
        <f ca="1">SUM($F$15:F26)/360</f>
        <v>1.0166666666666666</v>
      </c>
      <c r="H26" s="79">
        <f t="shared" si="2"/>
        <v>25000000</v>
      </c>
      <c r="I26" s="80">
        <f>IF('Cap Pricer'!$E$22=DataValidation!$C$2,'Cap Pricer'!$E$23,IF('Cap Pricer'!$E$22=DataValidation!$C$3,VLOOKUP($B26,'Cap Pricer'!$C$25:$E$31,3),""))</f>
        <v>0.02</v>
      </c>
      <c r="J26" s="81">
        <f>Volatilities_Resets!$E15*0.01</f>
        <v>5.08698E-2</v>
      </c>
      <c r="K26" s="82">
        <f>IF(I26=L$11,Volatilities_Resets!$AA15,IF(I26&gt;=K$11,IF(I26&lt;L$11,(((Volatilities_Resets!$AA15-Volatilities_Resets!$Y15)/50)*((Calculator!I26-Calculator!K$11)*10000)+Volatilities_Resets!$Y15)),IF(I26&gt;=K$10,IF(I26&lt;L$10,(((Volatilities_Resets!$Y15-Volatilities_Resets!$W15)/50)*((Calculator!I26-Calculator!K$10)*10000)+Volatilities_Resets!$W15)),IF(I26&gt;=K$9,IF(I26&lt;L$9,(((Volatilities_Resets!$W15-Volatilities_Resets!$U15)/50)*((Calculator!I26-Calculator!K$9)*10000)+Volatilities_Resets!$U15)),IF(I26&gt;=K$8,IF(I26&lt;L$8,(((Volatilities_Resets!$U15-Volatilities_Resets!$S15)/50)*((Calculator!I26-Calculator!K$8)*10000)+Volatilities_Resets!$S15)),IF(I26&gt;=K$7,IF(I26&lt;L$7,(((Volatilities_Resets!$S15-Volatilities_Resets!$Q15)/50)*((Calculator!I26-Calculator!K$7)*10000)+Volatilities_Resets!$Q15)),IF(I26&gt;=K$6,IF(I26&lt;L$6,(((Volatilities_Resets!$Q15-Volatilities_Resets!$O15)/50)*((Calculator!I26-Calculator!K$6)*10000)+Volatilities_Resets!$O15)),IF(I26&gt;=K$5,IF(I26&lt;L$5,(((Volatilities_Resets!$O15-Volatilities_Resets!$M15)/50)*((Calculator!I26-Calculator!K$5)*10000)+Volatilities_Resets!$M15)),IF(I26&gt;=K$4,IF(I26&lt;L$4,(((Volatilities_Resets!$M15-Volatilities_Resets!$K15)/50)*((Calculator!I26-Calculator!K$4)*10000)+Volatilities_Resets!$K15)),IF(I26&gt;=K$3,IF(I26&lt;L$3,(((Volatilities_Resets!$K15-Volatilities_Resets!$I15)/50)*((Calculator!I26-Calculator!K$3)*10000)+Volatilities_Resets!$I15)),IF(I26&gt;=K$2,IF(I26&lt;L$2,(((Volatilities_Resets!$I15-Volatilities_Resets!$G15)/50)*((Calculator!I26-Calculator!K$2)*10000)+Volatilities_Resets!$G15)),"Well, something broke...")))))))))))/10000</f>
        <v>2.1896000000000002E-2</v>
      </c>
      <c r="L26" s="83">
        <f t="shared" ca="1" si="17"/>
        <v>64609.888514507846</v>
      </c>
      <c r="M26" s="84">
        <f t="shared" ca="1" si="18"/>
        <v>2.5856355787315776E-3</v>
      </c>
      <c r="N26" s="84">
        <f t="shared" ca="1" si="44"/>
        <v>826989.1217648465</v>
      </c>
      <c r="O26" s="84">
        <f ca="1">SUM(L15:L26)</f>
        <v>826989.1217648465</v>
      </c>
      <c r="P26" s="49"/>
      <c r="Q26" s="84">
        <f t="shared" ca="1" si="19"/>
        <v>29.366714296093221</v>
      </c>
      <c r="R26" s="84">
        <f ca="1">SUM($Q$15:Q26)</f>
        <v>121.59810689661815</v>
      </c>
      <c r="T26" s="52">
        <f ca="1">EXP(-AVERAGE(J$15:J26)*G26)</f>
        <v>0.94728421915609018</v>
      </c>
      <c r="U26" s="57"/>
      <c r="V26" s="75">
        <f t="shared" ca="1" si="20"/>
        <v>12</v>
      </c>
      <c r="W26" s="76">
        <f t="shared" ca="1" si="21"/>
        <v>45526</v>
      </c>
      <c r="X26" s="76">
        <f t="shared" ca="1" si="3"/>
        <v>45557</v>
      </c>
      <c r="Y26" s="77">
        <f t="shared" ca="1" si="4"/>
        <v>31</v>
      </c>
      <c r="Z26" s="78">
        <f ca="1">SUM(Y$15:Y26)/360</f>
        <v>1.0166666666666666</v>
      </c>
      <c r="AA26" s="79">
        <f t="shared" si="22"/>
        <v>25000000</v>
      </c>
      <c r="AB26" s="80">
        <f t="shared" si="23"/>
        <v>0.03</v>
      </c>
      <c r="AC26" s="81">
        <f>Volatilities_Resets!$E15*0.01</f>
        <v>5.08698E-2</v>
      </c>
      <c r="AD26" s="82">
        <f>IF(AB26=AE$11,Volatilities_Resets!$AA15,IF(AB26&gt;=AD$11,IF(AB26&lt;AE$11,(((Volatilities_Resets!$AA15-Volatilities_Resets!$Y15)/50)*((Calculator!AB26-Calculator!AD$11)*10000)+Volatilities_Resets!$Y15)),IF(AB26&gt;=AD$10,IF(AB26&lt;AE$10,(((Volatilities_Resets!$Y15-Volatilities_Resets!$W15)/50)*((Calculator!AB26-Calculator!AD$10)*10000)+Volatilities_Resets!$W15)),IF(AB26&gt;=AD$9,IF(AB26&lt;AE$9,(((Volatilities_Resets!$W15-Volatilities_Resets!$U15)/50)*((Calculator!AB26-Calculator!AD$9)*10000)+Volatilities_Resets!$U15)),IF(AB26&gt;=AD$8,IF(AB26&lt;AE$8,(((Volatilities_Resets!$U15-Volatilities_Resets!$S15)/50)*((Calculator!AB26-Calculator!AD$8)*10000)+Volatilities_Resets!$S15)),IF(AB26&gt;=AD$7,IF(AB26&lt;AE$7,(((Volatilities_Resets!$S15-Volatilities_Resets!$Q15)/50)*((Calculator!AB26-Calculator!AD$7)*10000)+Volatilities_Resets!$Q15)),IF(AB26&gt;=AD$6,IF(AB26&lt;AE$6,(((Volatilities_Resets!$Q15-Volatilities_Resets!$O15)/50)*((Calculator!AB26-Calculator!AD$6)*10000)+Volatilities_Resets!$O15)),IF(AB26&gt;=AD$5,IF(AB26&lt;AE$5,(((Volatilities_Resets!$O15-Volatilities_Resets!$M15)/50)*((Calculator!AB26-Calculator!AD$5)*10000)+Volatilities_Resets!$M15)),IF(AB26&gt;=AD$4,IF(AB26&lt;AE$4,(((Volatilities_Resets!$M15-Volatilities_Resets!$K15)/50)*((Calculator!AB26-Calculator!AD$4)*10000)+Volatilities_Resets!$K15)),IF(AB26&gt;=AD$3,IF(AB26&lt;AE$3,(((Volatilities_Resets!$K15-Volatilities_Resets!$I15)/50)*((Calculator!AB26-Calculator!AD$3)*10000)+Volatilities_Resets!$I15)),IF(AB26&gt;=AD$2,IF(AB26&lt;AE$2,(((Volatilities_Resets!$I15-Volatilities_Resets!$G15)/50)*((Calculator!AB26-Calculator!AD$2)*10000)+Volatilities_Resets!$G15)),"Well, something broke...")))))))))))/10000</f>
        <v>1.8997999999999998E-2</v>
      </c>
      <c r="AE26" s="84">
        <f t="shared" ca="1" si="24"/>
        <v>45296.377346562142</v>
      </c>
      <c r="AF26" s="84">
        <f t="shared" ca="1" si="25"/>
        <v>1.8136732887296845E-3</v>
      </c>
      <c r="AG26" s="84">
        <f t="shared" ca="1" si="45"/>
        <v>583821.84965826035</v>
      </c>
      <c r="AH26" s="84">
        <f ca="1">SUM(AE15:AE26)</f>
        <v>583821.84965826035</v>
      </c>
      <c r="AI26" s="49"/>
      <c r="AJ26" s="84">
        <f t="shared" ca="1" si="26"/>
        <v>43.058682626199904</v>
      </c>
      <c r="AK26" s="84">
        <f ca="1">SUM($AJ$15:AJ26)</f>
        <v>189.82469004884922</v>
      </c>
      <c r="AM26" s="52">
        <f ca="1">EXP(-AVERAGE(AC$15:AC26)*Z26)</f>
        <v>0.94728421915609018</v>
      </c>
      <c r="AO26" s="75">
        <f t="shared" ca="1" si="27"/>
        <v>12</v>
      </c>
      <c r="AP26" s="76">
        <f t="shared" ca="1" si="28"/>
        <v>45526</v>
      </c>
      <c r="AQ26" s="76">
        <f t="shared" ca="1" si="5"/>
        <v>45557</v>
      </c>
      <c r="AR26" s="77">
        <f t="shared" ca="1" si="6"/>
        <v>31</v>
      </c>
      <c r="AS26" s="78">
        <f ca="1">SUM(AR$15:AR26)/360</f>
        <v>1.0166666666666666</v>
      </c>
      <c r="AT26" s="79">
        <f t="shared" si="7"/>
        <v>25000000</v>
      </c>
      <c r="AU26" s="80">
        <f t="shared" si="29"/>
        <v>0.04</v>
      </c>
      <c r="AV26" s="81">
        <f>Volatilities_Resets!$E15*0.01</f>
        <v>5.08698E-2</v>
      </c>
      <c r="AW26" s="82">
        <f>IF(AU26=AX$11,Volatilities_Resets!$AA15,IF(AU26&gt;=AW$11,IF(AU26&lt;AX$11,(((Volatilities_Resets!$AA15-Volatilities_Resets!$Y15)/50)*((Calculator!AU26-Calculator!AW$11)*10000)+Volatilities_Resets!$Y15)),IF(AU26&gt;=AW$10,IF(AU26&lt;AX$10,(((Volatilities_Resets!$Y15-Volatilities_Resets!$W15)/50)*((Calculator!AU26-Calculator!AW$10)*10000)+Volatilities_Resets!$W15)),IF(AU26&gt;=AW$9,IF(AU26&lt;AX$9,(((Volatilities_Resets!$W15-Volatilities_Resets!$U15)/50)*((Calculator!AU26-Calculator!AW$9)*10000)+Volatilities_Resets!$U15)),IF(AU26&gt;=AW$8,IF(AU26&lt;AX$8,(((Volatilities_Resets!$U15-Volatilities_Resets!$S15)/50)*((Calculator!AU26-Calculator!AW$8)*10000)+Volatilities_Resets!$S15)),IF(AU26&gt;=AW$7,IF(AU26&lt;AX$7,(((Volatilities_Resets!$S15-Volatilities_Resets!$Q15)/50)*((Calculator!AU26-Calculator!AW$7)*10000)+Volatilities_Resets!$Q15)),IF(AU26&gt;=AW$6,IF(AU26&lt;AX$6,(((Volatilities_Resets!$Q15-Volatilities_Resets!$O15)/50)*((Calculator!AU26-Calculator!AW$6)*10000)+Volatilities_Resets!$O15)),IF(AU26&gt;=AW$5,IF(AU26&lt;AX$5,(((Volatilities_Resets!$O15-Volatilities_Resets!$M15)/50)*((Calculator!AU26-Calculator!AW$5)*10000)+Volatilities_Resets!$M15)),IF(AU26&gt;=AW$4,IF(AU26&lt;AX$4,(((Volatilities_Resets!$M15-Volatilities_Resets!$K15)/50)*((Calculator!AU26-Calculator!AW$4)*10000)+Volatilities_Resets!$K15)),IF(AU26&gt;=AW$3,IF(AU26&lt;AX$3,(((Volatilities_Resets!$K15-Volatilities_Resets!$I15)/50)*((Calculator!AU26-Calculator!AW$3)*10000)+Volatilities_Resets!$I15)),IF(AU26&gt;=AW$2,IF(AU26&lt;AX$2,(((Volatilities_Resets!$I15-Volatilities_Resets!$G15)/50)*((Calculator!AU26-Calculator!AW$2)*10000)+Volatilities_Resets!$G15)),"Well, something broke...")))))))))))/10000</f>
        <v>1.5425999999999999E-2</v>
      </c>
      <c r="AX26" s="84">
        <f t="shared" ca="1" si="30"/>
        <v>26707.61413106351</v>
      </c>
      <c r="AY26" s="84">
        <f t="shared" ca="1" si="31"/>
        <v>1.0708789396704831E-3</v>
      </c>
      <c r="AZ26" s="84">
        <f t="shared" ca="1" si="46"/>
        <v>342969.6182982942</v>
      </c>
      <c r="BA26" s="84">
        <f ca="1">SUM(AX15:AX26)</f>
        <v>342969.6182982942</v>
      </c>
      <c r="BB26" s="49"/>
      <c r="BC26" s="84">
        <f t="shared" ca="1" si="8"/>
        <v>60.966606744725858</v>
      </c>
      <c r="BD26" s="84">
        <f ca="1">SUM($BC$15:BC26)</f>
        <v>301.71200336692596</v>
      </c>
      <c r="BF26" s="52">
        <f ca="1">EXP(-AVERAGE(AV$15:AV26)*AS26)</f>
        <v>0.94728421915609018</v>
      </c>
      <c r="BH26" s="75">
        <f t="shared" ca="1" si="32"/>
        <v>12</v>
      </c>
      <c r="BI26" s="76">
        <f t="shared" ca="1" si="33"/>
        <v>45526</v>
      </c>
      <c r="BJ26" s="76">
        <f t="shared" ca="1" si="9"/>
        <v>45557</v>
      </c>
      <c r="BK26" s="77">
        <f t="shared" ca="1" si="10"/>
        <v>31</v>
      </c>
      <c r="BL26" s="78">
        <f ca="1">SUM(BK$15:BK26)/360</f>
        <v>1.0166666666666666</v>
      </c>
      <c r="BM26" s="79">
        <f t="shared" si="11"/>
        <v>25000000</v>
      </c>
      <c r="BN26" s="80">
        <f t="shared" si="34"/>
        <v>0.05</v>
      </c>
      <c r="BO26" s="81">
        <f>Volatilities_Resets!$E15*0.01</f>
        <v>5.08698E-2</v>
      </c>
      <c r="BP26" s="82">
        <f>IF(BN26=BQ$11,Volatilities_Resets!$AA15,IF(BN26&gt;=BP$11,IF(BN26&lt;BQ$11,(((Volatilities_Resets!$AA15-Volatilities_Resets!$Y15)/50)*((Calculator!BN26-Calculator!BP$11)*10000)+Volatilities_Resets!$Y15)),IF(BN26&gt;=BP$10,IF(BN26&lt;BQ$10,(((Volatilities_Resets!$Y15-Volatilities_Resets!$W15)/50)*((Calculator!BN26-Calculator!BP$10)*10000)+Volatilities_Resets!$W15)),IF(BN26&gt;=BP$9,IF(BN26&lt;BQ$9,(((Volatilities_Resets!$W15-Volatilities_Resets!$U15)/50)*((Calculator!BN26-Calculator!BP$9)*10000)+Volatilities_Resets!$U15)),IF(BN26&gt;=BP$8,IF(BN26&lt;BQ$8,(((Volatilities_Resets!$U15-Volatilities_Resets!$S15)/50)*((Calculator!BN26-Calculator!BP$8)*10000)+Volatilities_Resets!$S15)),IF(BN26&gt;=BP$7,IF(BN26&lt;BQ$7,(((Volatilities_Resets!$S15-Volatilities_Resets!$Q15)/50)*((Calculator!BN26-Calculator!BP$7)*10000)+Volatilities_Resets!$Q15)),IF(BN26&gt;=BP$6,IF(BN26&lt;BQ$6,(((Volatilities_Resets!$Q15-Volatilities_Resets!$O15)/50)*((Calculator!BN26-Calculator!BP$6)*10000)+Volatilities_Resets!$O15)),IF(BN26&gt;=BP$5,IF(BN26&lt;BQ$5,(((Volatilities_Resets!$O15-Volatilities_Resets!$M15)/50)*((Calculator!BN26-Calculator!BP$5)*10000)+Volatilities_Resets!$M15)),IF(BN26&gt;=BP$4,IF(BN26&lt;BQ$4,(((Volatilities_Resets!$M15-Volatilities_Resets!$K15)/50)*((Calculator!BN26-Calculator!BP$4)*10000)+Volatilities_Resets!$K15)),IF(BN26&gt;=BP$3,IF(BN26&lt;BQ$3,(((Volatilities_Resets!$K15-Volatilities_Resets!$I15)/50)*((Calculator!BN26-Calculator!BP$3)*10000)+Volatilities_Resets!$I15)),IF(BN26&gt;=BP$2,IF(BN26&lt;BQ$2,(((Volatilities_Resets!$I15-Volatilities_Resets!$G15)/50)*((Calculator!BN26-Calculator!BP$2)*10000)+Volatilities_Resets!$G15)),"Well, something broke...")))))))))))/10000</f>
        <v>1.2527000000000002E-2</v>
      </c>
      <c r="BQ26" s="84">
        <f t="shared" ca="1" si="35"/>
        <v>11187.287036001397</v>
      </c>
      <c r="BR26" s="84">
        <f t="shared" ca="1" si="36"/>
        <v>4.507650186786501E-4</v>
      </c>
      <c r="BS26" s="84">
        <f t="shared" ca="1" si="47"/>
        <v>119197.28288196282</v>
      </c>
      <c r="BT26" s="84">
        <f ca="1">SUM(BQ15:BQ26)</f>
        <v>119197.28288196282</v>
      </c>
      <c r="BU26" s="49"/>
      <c r="BV26" s="84">
        <f t="shared" ca="1" si="37"/>
        <v>77.524254173503422</v>
      </c>
      <c r="BW26" s="84">
        <f ca="1">SUM($BV$15:BV26)</f>
        <v>574.0103272980374</v>
      </c>
      <c r="BY26" s="52">
        <f ca="1">EXP(-AVERAGE(BO$15:BO26)*BL26)</f>
        <v>0.94728421915609018</v>
      </c>
      <c r="CA26" s="75">
        <f t="shared" ca="1" si="38"/>
        <v>12</v>
      </c>
      <c r="CB26" s="76">
        <f t="shared" ca="1" si="39"/>
        <v>45526</v>
      </c>
      <c r="CC26" s="76">
        <f t="shared" ca="1" si="12"/>
        <v>45557</v>
      </c>
      <c r="CD26" s="77">
        <f t="shared" ca="1" si="13"/>
        <v>31</v>
      </c>
      <c r="CE26" s="78">
        <f ca="1">SUM(CD$15:CD26)/360</f>
        <v>1.0166666666666666</v>
      </c>
      <c r="CF26" s="79">
        <f t="shared" si="14"/>
        <v>25000000</v>
      </c>
      <c r="CG26" s="80">
        <f t="shared" si="40"/>
        <v>0.06</v>
      </c>
      <c r="CH26" s="81">
        <f>Volatilities_Resets!$E15*0.01</f>
        <v>5.08698E-2</v>
      </c>
      <c r="CI26" s="82">
        <f>IF(CG26=CJ$11,Volatilities_Resets!$AA15,IF(CG26&gt;=CI$11,IF(CG26&lt;CJ$11,(((Volatilities_Resets!$AA15-Volatilities_Resets!$Y15)/50)*((Calculator!CG26-Calculator!CI$11)*10000)+Volatilities_Resets!$Y15)),IF(CG26&gt;=CI$10,IF(CG26&lt;CJ$10,(((Volatilities_Resets!$Y15-Volatilities_Resets!$W15)/50)*((Calculator!CG26-Calculator!CI$10)*10000)+Volatilities_Resets!$W15)),IF(CG26&gt;=CI$9,IF(CG26&lt;CJ$9,(((Volatilities_Resets!$W15-Volatilities_Resets!$U15)/50)*((Calculator!CG26-Calculator!CI$9)*10000)+Volatilities_Resets!$U15)),IF(CG26&gt;=CI$8,IF(CG26&lt;CJ$8,(((Volatilities_Resets!$U15-Volatilities_Resets!$S15)/50)*((Calculator!CG26-Calculator!CI$8)*10000)+Volatilities_Resets!$S15)),IF(CG26&gt;=CI$7,IF(CG26&lt;CJ$7,(((Volatilities_Resets!$S15-Volatilities_Resets!$Q15)/50)*((Calculator!CG26-Calculator!CI$7)*10000)+Volatilities_Resets!$Q15)),IF(CG26&gt;=CI$6,IF(CG26&lt;CJ$6,(((Volatilities_Resets!$Q15-Volatilities_Resets!$O15)/50)*((Calculator!CG26-Calculator!CI$6)*10000)+Volatilities_Resets!$O15)),IF(CG26&gt;=CI$5,IF(CG26&lt;CJ$5,(((Volatilities_Resets!$O15-Volatilities_Resets!$M15)/50)*((Calculator!CG26-Calculator!CI$5)*10000)+Volatilities_Resets!$M15)),IF(CG26&gt;=CI$4,IF(CG26&lt;CJ$4,(((Volatilities_Resets!$M15-Volatilities_Resets!$K15)/50)*((Calculator!CG26-Calculator!CI$4)*10000)+Volatilities_Resets!$K15)),IF(CG26&gt;=CI$3,IF(CG26&lt;CJ$3,(((Volatilities_Resets!$K15-Volatilities_Resets!$I15)/50)*((Calculator!CG26-Calculator!CI$3)*10000)+Volatilities_Resets!$I15)),IF(CG26&gt;=CI$2,IF(CG26&lt;CJ$2,(((Volatilities_Resets!$I15-Volatilities_Resets!$G15)/50)*((Calculator!CG26-Calculator!CI$2)*10000)+Volatilities_Resets!$G15)),"Well, something broke...")))))))))))/10000</f>
        <v>1.1049E-2</v>
      </c>
      <c r="CJ26" s="84">
        <f t="shared" ca="1" si="41"/>
        <v>2638.2236007017063</v>
      </c>
      <c r="CK26" s="84">
        <f t="shared" ca="1" si="42"/>
        <v>1.078812999932199E-4</v>
      </c>
      <c r="CL26" s="84">
        <f t="shared" ca="1" si="48"/>
        <v>8629.8195732445965</v>
      </c>
      <c r="CM26" s="84">
        <f ca="1">SUM(CJ15:CJ26)</f>
        <v>8629.8195732445965</v>
      </c>
      <c r="CN26" s="49"/>
      <c r="CO26" s="84">
        <f t="shared" ca="1" si="43"/>
        <v>55.708742090646275</v>
      </c>
      <c r="CP26" s="84">
        <f ca="1">SUM($CO$15:CO26)</f>
        <v>321.99088833150245</v>
      </c>
      <c r="CR26" s="52">
        <f ca="1">EXP(-AVERAGE(CH$15:CH26)*CE26)</f>
        <v>0.94728421915609018</v>
      </c>
      <c r="CT26"/>
      <c r="CU26"/>
      <c r="CV26"/>
      <c r="CW26"/>
      <c r="CX26"/>
      <c r="CY26"/>
      <c r="CZ26"/>
      <c r="DA26"/>
      <c r="DB26"/>
      <c r="DC26"/>
      <c r="DD26"/>
      <c r="DE26"/>
      <c r="DF26"/>
      <c r="DG26"/>
      <c r="DH26"/>
      <c r="DI26"/>
      <c r="DJ26"/>
      <c r="DK26"/>
      <c r="DL26"/>
    </row>
    <row r="27" spans="2:116" ht="15.75" customHeight="1" x14ac:dyDescent="0.2">
      <c r="B27" s="52">
        <v>2</v>
      </c>
      <c r="C27" s="52">
        <f t="shared" ca="1" si="15"/>
        <v>13</v>
      </c>
      <c r="D27" s="71">
        <f t="shared" ca="1" si="16"/>
        <v>45557</v>
      </c>
      <c r="E27" s="71">
        <f t="shared" ca="1" si="0"/>
        <v>45587</v>
      </c>
      <c r="F27" s="72">
        <f t="shared" ca="1" si="1"/>
        <v>30</v>
      </c>
      <c r="G27" s="73">
        <f ca="1">SUM($F$15:F27)/360</f>
        <v>1.1000000000000001</v>
      </c>
      <c r="H27" s="74">
        <f t="shared" si="2"/>
        <v>25000000</v>
      </c>
      <c r="I27" s="59">
        <f>IF('Cap Pricer'!$E$22=DataValidation!$C$2,'Cap Pricer'!$E$23,IF('Cap Pricer'!$E$22=DataValidation!$C$3,VLOOKUP($B27,'Cap Pricer'!$C$25:$E$31,3),""))</f>
        <v>0.02</v>
      </c>
      <c r="J27" s="57">
        <f>Volatilities_Resets!$E16*0.01</f>
        <v>4.7367600000000003E-2</v>
      </c>
      <c r="K27" s="61">
        <f>IF(I27=L$11,Volatilities_Resets!$AA16,IF(I27&gt;=K$11,IF(I27&lt;L$11,(((Volatilities_Resets!$AA16-Volatilities_Resets!$Y16)/50)*((Calculator!I27-Calculator!K$11)*10000)+Volatilities_Resets!$Y16)),IF(I27&gt;=K$10,IF(I27&lt;L$10,(((Volatilities_Resets!$Y16-Volatilities_Resets!$W16)/50)*((Calculator!I27-Calculator!K$10)*10000)+Volatilities_Resets!$W16)),IF(I27&gt;=K$9,IF(I27&lt;L$9,(((Volatilities_Resets!$W16-Volatilities_Resets!$U16)/50)*((Calculator!I27-Calculator!K$9)*10000)+Volatilities_Resets!$U16)),IF(I27&gt;=K$8,IF(I27&lt;L$8,(((Volatilities_Resets!$U16-Volatilities_Resets!$S16)/50)*((Calculator!I27-Calculator!K$8)*10000)+Volatilities_Resets!$S16)),IF(I27&gt;=K$7,IF(I27&lt;L$7,(((Volatilities_Resets!$S16-Volatilities_Resets!$Q16)/50)*((Calculator!I27-Calculator!K$7)*10000)+Volatilities_Resets!$Q16)),IF(I27&gt;=K$6,IF(I27&lt;L$6,(((Volatilities_Resets!$Q16-Volatilities_Resets!$O16)/50)*((Calculator!I27-Calculator!K$6)*10000)+Volatilities_Resets!$O16)),IF(I27&gt;=K$5,IF(I27&lt;L$5,(((Volatilities_Resets!$O16-Volatilities_Resets!$M16)/50)*((Calculator!I27-Calculator!K$5)*10000)+Volatilities_Resets!$M16)),IF(I27&gt;=K$4,IF(I27&lt;L$4,(((Volatilities_Resets!$M16-Volatilities_Resets!$K16)/50)*((Calculator!I27-Calculator!K$4)*10000)+Volatilities_Resets!$K16)),IF(I27&gt;=K$3,IF(I27&lt;L$3,(((Volatilities_Resets!$K16-Volatilities_Resets!$I16)/50)*((Calculator!I27-Calculator!K$3)*10000)+Volatilities_Resets!$I16)),IF(I27&gt;=K$2,IF(I27&lt;L$2,(((Volatilities_Resets!$I16-Volatilities_Resets!$G16)/50)*((Calculator!I27-Calculator!K$2)*10000)+Volatilities_Resets!$G16)),"Well, something broke...")))))))))))/10000</f>
        <v>2.1238999999999997E-2</v>
      </c>
      <c r="L27" s="47">
        <f t="shared" ca="1" si="17"/>
        <v>56113.852915214527</v>
      </c>
      <c r="M27" s="63">
        <f t="shared" ca="1" si="18"/>
        <v>2.2461063716614584E-3</v>
      </c>
      <c r="N27" s="63">
        <f t="shared" ca="1" si="44"/>
        <v>883102.97468006099</v>
      </c>
      <c r="Q27" s="63">
        <f t="shared" ca="1" si="19"/>
        <v>36.616125518766488</v>
      </c>
      <c r="R27" s="63">
        <f ca="1">SUM($Q$15:Q27)</f>
        <v>158.21423241538463</v>
      </c>
      <c r="T27" s="52">
        <f ca="1">EXP(-AVERAGE(J$15:J27)*G27)</f>
        <v>0.94355951235955426</v>
      </c>
      <c r="U27" s="57"/>
      <c r="V27" s="52">
        <f t="shared" ca="1" si="20"/>
        <v>13</v>
      </c>
      <c r="W27" s="71">
        <f t="shared" ca="1" si="21"/>
        <v>45557</v>
      </c>
      <c r="X27" s="71">
        <f t="shared" ca="1" si="3"/>
        <v>45587</v>
      </c>
      <c r="Y27" s="72">
        <f t="shared" ca="1" si="4"/>
        <v>30</v>
      </c>
      <c r="Z27" s="73">
        <f ca="1">SUM(Y$15:Y27)/360</f>
        <v>1.1000000000000001</v>
      </c>
      <c r="AA27" s="74">
        <f t="shared" si="22"/>
        <v>25000000</v>
      </c>
      <c r="AB27" s="59">
        <f t="shared" si="23"/>
        <v>0.03</v>
      </c>
      <c r="AC27" s="57">
        <f>Volatilities_Resets!$E16*0.01</f>
        <v>4.7367600000000003E-2</v>
      </c>
      <c r="AD27" s="61">
        <f>IF(AB27=AE$11,Volatilities_Resets!$AA16,IF(AB27&gt;=AD$11,IF(AB27&lt;AE$11,(((Volatilities_Resets!$AA16-Volatilities_Resets!$Y16)/50)*((Calculator!AB27-Calculator!AD$11)*10000)+Volatilities_Resets!$Y16)),IF(AB27&gt;=AD$10,IF(AB27&lt;AE$10,(((Volatilities_Resets!$Y16-Volatilities_Resets!$W16)/50)*((Calculator!AB27-Calculator!AD$10)*10000)+Volatilities_Resets!$W16)),IF(AB27&gt;=AD$9,IF(AB27&lt;AE$9,(((Volatilities_Resets!$W16-Volatilities_Resets!$U16)/50)*((Calculator!AB27-Calculator!AD$9)*10000)+Volatilities_Resets!$U16)),IF(AB27&gt;=AD$8,IF(AB27&lt;AE$8,(((Volatilities_Resets!$U16-Volatilities_Resets!$S16)/50)*((Calculator!AB27-Calculator!AD$8)*10000)+Volatilities_Resets!$S16)),IF(AB27&gt;=AD$7,IF(AB27&lt;AE$7,(((Volatilities_Resets!$S16-Volatilities_Resets!$Q16)/50)*((Calculator!AB27-Calculator!AD$7)*10000)+Volatilities_Resets!$Q16)),IF(AB27&gt;=AD$6,IF(AB27&lt;AE$6,(((Volatilities_Resets!$Q16-Volatilities_Resets!$O16)/50)*((Calculator!AB27-Calculator!AD$6)*10000)+Volatilities_Resets!$O16)),IF(AB27&gt;=AD$5,IF(AB27&lt;AE$5,(((Volatilities_Resets!$O16-Volatilities_Resets!$M16)/50)*((Calculator!AB27-Calculator!AD$5)*10000)+Volatilities_Resets!$M16)),IF(AB27&gt;=AD$4,IF(AB27&lt;AE$4,(((Volatilities_Resets!$M16-Volatilities_Resets!$K16)/50)*((Calculator!AB27-Calculator!AD$4)*10000)+Volatilities_Resets!$K16)),IF(AB27&gt;=AD$3,IF(AB27&lt;AE$3,(((Volatilities_Resets!$K16-Volatilities_Resets!$I16)/50)*((Calculator!AB27-Calculator!AD$3)*10000)+Volatilities_Resets!$I16)),IF(AB27&gt;=AD$2,IF(AB27&lt;AE$2,(((Volatilities_Resets!$I16-Volatilities_Resets!$G16)/50)*((Calculator!AB27-Calculator!AD$2)*10000)+Volatilities_Resets!$G16)),"Well, something broke...")))))))))))/10000</f>
        <v>1.8815999999999999E-2</v>
      </c>
      <c r="AE27" s="63">
        <f t="shared" ca="1" si="24"/>
        <v>38180.73477595998</v>
      </c>
      <c r="AF27" s="63">
        <f t="shared" ca="1" si="25"/>
        <v>1.5294675921951348E-3</v>
      </c>
      <c r="AG27" s="63">
        <f t="shared" ca="1" si="45"/>
        <v>622002.58443422033</v>
      </c>
      <c r="AJ27" s="63">
        <f t="shared" ca="1" si="26"/>
        <v>52.796899800303009</v>
      </c>
      <c r="AK27" s="63">
        <f ca="1">SUM($AJ$15:AJ27)</f>
        <v>242.62158984915223</v>
      </c>
      <c r="AM27" s="52">
        <f ca="1">EXP(-AVERAGE(AC$15:AC27)*Z27)</f>
        <v>0.94355951235955426</v>
      </c>
      <c r="AO27" s="52">
        <f t="shared" ca="1" si="27"/>
        <v>13</v>
      </c>
      <c r="AP27" s="71">
        <f t="shared" ca="1" si="28"/>
        <v>45557</v>
      </c>
      <c r="AQ27" s="71">
        <f t="shared" ca="1" si="5"/>
        <v>45587</v>
      </c>
      <c r="AR27" s="72">
        <f t="shared" ca="1" si="6"/>
        <v>30</v>
      </c>
      <c r="AS27" s="73">
        <f ca="1">SUM(AR$15:AR27)/360</f>
        <v>1.1000000000000001</v>
      </c>
      <c r="AT27" s="74">
        <f t="shared" si="7"/>
        <v>25000000</v>
      </c>
      <c r="AU27" s="59">
        <f t="shared" si="29"/>
        <v>0.04</v>
      </c>
      <c r="AV27" s="57">
        <f>Volatilities_Resets!$E16*0.01</f>
        <v>4.7367600000000003E-2</v>
      </c>
      <c r="AW27" s="61">
        <f>IF(AU27=AX$11,Volatilities_Resets!$AA16,IF(AU27&gt;=AW$11,IF(AU27&lt;AX$11,(((Volatilities_Resets!$AA16-Volatilities_Resets!$Y16)/50)*((Calculator!AU27-Calculator!AW$11)*10000)+Volatilities_Resets!$Y16)),IF(AU27&gt;=AW$10,IF(AU27&lt;AX$10,(((Volatilities_Resets!$Y16-Volatilities_Resets!$W16)/50)*((Calculator!AU27-Calculator!AW$10)*10000)+Volatilities_Resets!$W16)),IF(AU27&gt;=AW$9,IF(AU27&lt;AX$9,(((Volatilities_Resets!$W16-Volatilities_Resets!$U16)/50)*((Calculator!AU27-Calculator!AW$9)*10000)+Volatilities_Resets!$U16)),IF(AU27&gt;=AW$8,IF(AU27&lt;AX$8,(((Volatilities_Resets!$U16-Volatilities_Resets!$S16)/50)*((Calculator!AU27-Calculator!AW$8)*10000)+Volatilities_Resets!$S16)),IF(AU27&gt;=AW$7,IF(AU27&lt;AX$7,(((Volatilities_Resets!$S16-Volatilities_Resets!$Q16)/50)*((Calculator!AU27-Calculator!AW$7)*10000)+Volatilities_Resets!$Q16)),IF(AU27&gt;=AW$6,IF(AU27&lt;AX$6,(((Volatilities_Resets!$Q16-Volatilities_Resets!$O16)/50)*((Calculator!AU27-Calculator!AW$6)*10000)+Volatilities_Resets!$O16)),IF(AU27&gt;=AW$5,IF(AU27&lt;AX$5,(((Volatilities_Resets!$O16-Volatilities_Resets!$M16)/50)*((Calculator!AU27-Calculator!AW$5)*10000)+Volatilities_Resets!$M16)),IF(AU27&gt;=AW$4,IF(AU27&lt;AX$4,(((Volatilities_Resets!$M16-Volatilities_Resets!$K16)/50)*((Calculator!AU27-Calculator!AW$4)*10000)+Volatilities_Resets!$K16)),IF(AU27&gt;=AW$3,IF(AU27&lt;AX$3,(((Volatilities_Resets!$K16-Volatilities_Resets!$I16)/50)*((Calculator!AU27-Calculator!AW$3)*10000)+Volatilities_Resets!$I16)),IF(AU27&gt;=AW$2,IF(AU27&lt;AX$2,(((Volatilities_Resets!$I16-Volatilities_Resets!$G16)/50)*((Calculator!AU27-Calculator!AW$2)*10000)+Volatilities_Resets!$G16)),"Well, something broke...")))))))))))/10000</f>
        <v>1.5893999999999998E-2</v>
      </c>
      <c r="AX27" s="63">
        <f t="shared" ca="1" si="30"/>
        <v>21570.635093791348</v>
      </c>
      <c r="AY27" s="63">
        <f t="shared" ca="1" si="31"/>
        <v>8.6581107495572681E-4</v>
      </c>
      <c r="AZ27" s="63">
        <f t="shared" ca="1" si="46"/>
        <v>364540.25339208555</v>
      </c>
      <c r="BC27" s="63">
        <f t="shared" ca="1" si="8"/>
        <v>70.42896163452339</v>
      </c>
      <c r="BD27" s="63">
        <f ca="1">SUM($BC$15:BC27)</f>
        <v>372.14096500144933</v>
      </c>
      <c r="BF27" s="52">
        <f ca="1">EXP(-AVERAGE(AV$15:AV27)*AS27)</f>
        <v>0.94355951235955426</v>
      </c>
      <c r="BH27" s="52">
        <f t="shared" ca="1" si="32"/>
        <v>13</v>
      </c>
      <c r="BI27" s="71">
        <f t="shared" ca="1" si="33"/>
        <v>45557</v>
      </c>
      <c r="BJ27" s="71">
        <f t="shared" ca="1" si="9"/>
        <v>45587</v>
      </c>
      <c r="BK27" s="72">
        <f t="shared" ca="1" si="10"/>
        <v>30</v>
      </c>
      <c r="BL27" s="73">
        <f ca="1">SUM(BK$15:BK27)/360</f>
        <v>1.1000000000000001</v>
      </c>
      <c r="BM27" s="74">
        <f t="shared" si="11"/>
        <v>25000000</v>
      </c>
      <c r="BN27" s="59">
        <f t="shared" si="34"/>
        <v>0.05</v>
      </c>
      <c r="BO27" s="57">
        <f>Volatilities_Resets!$E16*0.01</f>
        <v>4.7367600000000003E-2</v>
      </c>
      <c r="BP27" s="61">
        <f>IF(BN27=BQ$11,Volatilities_Resets!$AA16,IF(BN27&gt;=BP$11,IF(BN27&lt;BQ$11,(((Volatilities_Resets!$AA16-Volatilities_Resets!$Y16)/50)*((Calculator!BN27-Calculator!BP$11)*10000)+Volatilities_Resets!$Y16)),IF(BN27&gt;=BP$10,IF(BN27&lt;BQ$10,(((Volatilities_Resets!$Y16-Volatilities_Resets!$W16)/50)*((Calculator!BN27-Calculator!BP$10)*10000)+Volatilities_Resets!$W16)),IF(BN27&gt;=BP$9,IF(BN27&lt;BQ$9,(((Volatilities_Resets!$W16-Volatilities_Resets!$U16)/50)*((Calculator!BN27-Calculator!BP$9)*10000)+Volatilities_Resets!$U16)),IF(BN27&gt;=BP$8,IF(BN27&lt;BQ$8,(((Volatilities_Resets!$U16-Volatilities_Resets!$S16)/50)*((Calculator!BN27-Calculator!BP$8)*10000)+Volatilities_Resets!$S16)),IF(BN27&gt;=BP$7,IF(BN27&lt;BQ$7,(((Volatilities_Resets!$S16-Volatilities_Resets!$Q16)/50)*((Calculator!BN27-Calculator!BP$7)*10000)+Volatilities_Resets!$Q16)),IF(BN27&gt;=BP$6,IF(BN27&lt;BQ$6,(((Volatilities_Resets!$Q16-Volatilities_Resets!$O16)/50)*((Calculator!BN27-Calculator!BP$6)*10000)+Volatilities_Resets!$O16)),IF(BN27&gt;=BP$5,IF(BN27&lt;BQ$5,(((Volatilities_Resets!$O16-Volatilities_Resets!$M16)/50)*((Calculator!BN27-Calculator!BP$5)*10000)+Volatilities_Resets!$M16)),IF(BN27&gt;=BP$4,IF(BN27&lt;BQ$4,(((Volatilities_Resets!$M16-Volatilities_Resets!$K16)/50)*((Calculator!BN27-Calculator!BP$4)*10000)+Volatilities_Resets!$K16)),IF(BN27&gt;=BP$3,IF(BN27&lt;BQ$3,(((Volatilities_Resets!$K16-Volatilities_Resets!$I16)/50)*((Calculator!BN27-Calculator!BP$3)*10000)+Volatilities_Resets!$I16)),IF(BN27&gt;=BP$2,IF(BN27&lt;BQ$2,(((Volatilities_Resets!$I16-Volatilities_Resets!$G16)/50)*((Calculator!BN27-Calculator!BP$2)*10000)+Volatilities_Resets!$G16)),"Well, something broke...")))))))))))/10000</f>
        <v>1.3906E-2</v>
      </c>
      <c r="BQ27" s="63">
        <f t="shared" ca="1" si="35"/>
        <v>9036.1243988701226</v>
      </c>
      <c r="BR27" s="63">
        <f t="shared" ca="1" si="36"/>
        <v>3.6468218715268936E-4</v>
      </c>
      <c r="BS27" s="63">
        <f t="shared" ca="1" si="47"/>
        <v>128233.40728083294</v>
      </c>
      <c r="BV27" s="63">
        <f t="shared" ca="1" si="37"/>
        <v>76.362535482018288</v>
      </c>
      <c r="BW27" s="63">
        <f ca="1">SUM($BV$15:BV27)</f>
        <v>650.3728627800557</v>
      </c>
      <c r="BY27" s="52">
        <f ca="1">EXP(-AVERAGE(BO$15:BO27)*BL27)</f>
        <v>0.94355951235955426</v>
      </c>
      <c r="CA27" s="52">
        <f t="shared" ca="1" si="38"/>
        <v>13</v>
      </c>
      <c r="CB27" s="71">
        <f t="shared" ca="1" si="39"/>
        <v>45557</v>
      </c>
      <c r="CC27" s="71">
        <f t="shared" ca="1" si="12"/>
        <v>45587</v>
      </c>
      <c r="CD27" s="72">
        <f t="shared" ca="1" si="13"/>
        <v>30</v>
      </c>
      <c r="CE27" s="73">
        <f ca="1">SUM(CD$15:CD27)/360</f>
        <v>1.1000000000000001</v>
      </c>
      <c r="CF27" s="74">
        <f t="shared" si="14"/>
        <v>25000000</v>
      </c>
      <c r="CG27" s="59">
        <f t="shared" si="40"/>
        <v>0.06</v>
      </c>
      <c r="CH27" s="57">
        <f>Volatilities_Resets!$E16*0.01</f>
        <v>4.7367600000000003E-2</v>
      </c>
      <c r="CI27" s="61">
        <f>IF(CG27=CJ$11,Volatilities_Resets!$AA16,IF(CG27&gt;=CI$11,IF(CG27&lt;CJ$11,(((Volatilities_Resets!$AA16-Volatilities_Resets!$Y16)/50)*((Calculator!CG27-Calculator!CI$11)*10000)+Volatilities_Resets!$Y16)),IF(CG27&gt;=CI$10,IF(CG27&lt;CJ$10,(((Volatilities_Resets!$Y16-Volatilities_Resets!$W16)/50)*((Calculator!CG27-Calculator!CI$10)*10000)+Volatilities_Resets!$W16)),IF(CG27&gt;=CI$9,IF(CG27&lt;CJ$9,(((Volatilities_Resets!$W16-Volatilities_Resets!$U16)/50)*((Calculator!CG27-Calculator!CI$9)*10000)+Volatilities_Resets!$U16)),IF(CG27&gt;=CI$8,IF(CG27&lt;CJ$8,(((Volatilities_Resets!$U16-Volatilities_Resets!$S16)/50)*((Calculator!CG27-Calculator!CI$8)*10000)+Volatilities_Resets!$S16)),IF(CG27&gt;=CI$7,IF(CG27&lt;CJ$7,(((Volatilities_Resets!$S16-Volatilities_Resets!$Q16)/50)*((Calculator!CG27-Calculator!CI$7)*10000)+Volatilities_Resets!$Q16)),IF(CG27&gt;=CI$6,IF(CG27&lt;CJ$6,(((Volatilities_Resets!$Q16-Volatilities_Resets!$O16)/50)*((Calculator!CG27-Calculator!CI$6)*10000)+Volatilities_Resets!$O16)),IF(CG27&gt;=CI$5,IF(CG27&lt;CJ$5,(((Volatilities_Resets!$O16-Volatilities_Resets!$M16)/50)*((Calculator!CG27-Calculator!CI$5)*10000)+Volatilities_Resets!$M16)),IF(CG27&gt;=CI$4,IF(CG27&lt;CJ$4,(((Volatilities_Resets!$M16-Volatilities_Resets!$K16)/50)*((Calculator!CG27-Calculator!CI$4)*10000)+Volatilities_Resets!$K16)),IF(CG27&gt;=CI$3,IF(CG27&lt;CJ$3,(((Volatilities_Resets!$K16-Volatilities_Resets!$I16)/50)*((Calculator!CG27-Calculator!CI$3)*10000)+Volatilities_Resets!$I16)),IF(CG27&gt;=CI$2,IF(CG27&lt;CJ$2,(((Volatilities_Resets!$I16-Volatilities_Resets!$G16)/50)*((Calculator!CG27-Calculator!CI$2)*10000)+Volatilities_Resets!$G16)),"Well, something broke...")))))))))))/10000</f>
        <v>1.3306999999999999E-2</v>
      </c>
      <c r="CJ27" s="63">
        <f t="shared" ca="1" si="41"/>
        <v>2729.5333117472655</v>
      </c>
      <c r="CK27" s="63">
        <f t="shared" ca="1" si="42"/>
        <v>1.1137223585015201E-4</v>
      </c>
      <c r="CL27" s="63">
        <f t="shared" ca="1" si="48"/>
        <v>11359.352884991862</v>
      </c>
      <c r="CO27" s="63">
        <f t="shared" ca="1" si="43"/>
        <v>51.681193127658375</v>
      </c>
      <c r="CP27" s="63">
        <f ca="1">SUM($CO$15:CO27)</f>
        <v>373.67208145916084</v>
      </c>
      <c r="CR27" s="52">
        <f ca="1">EXP(-AVERAGE(CH$15:CH27)*CE27)</f>
        <v>0.94355951235955426</v>
      </c>
      <c r="CT27"/>
      <c r="CU27"/>
      <c r="CV27"/>
      <c r="CW27"/>
      <c r="CX27"/>
      <c r="CY27"/>
      <c r="CZ27"/>
      <c r="DA27"/>
      <c r="DB27"/>
      <c r="DC27"/>
      <c r="DD27"/>
      <c r="DE27"/>
      <c r="DF27"/>
      <c r="DG27"/>
      <c r="DH27"/>
      <c r="DI27"/>
      <c r="DJ27"/>
      <c r="DK27"/>
      <c r="DL27"/>
    </row>
    <row r="28" spans="2:116" ht="15.75" customHeight="1" x14ac:dyDescent="0.2">
      <c r="B28" s="52">
        <v>2</v>
      </c>
      <c r="C28" s="52">
        <f t="shared" ca="1" si="15"/>
        <v>14</v>
      </c>
      <c r="D28" s="71">
        <f t="shared" ca="1" si="16"/>
        <v>45587</v>
      </c>
      <c r="E28" s="71">
        <f t="shared" ca="1" si="0"/>
        <v>45618</v>
      </c>
      <c r="F28" s="72">
        <f t="shared" ca="1" si="1"/>
        <v>31</v>
      </c>
      <c r="G28" s="73">
        <f ca="1">SUM($F$15:F28)/360</f>
        <v>1.1861111111111111</v>
      </c>
      <c r="H28" s="74">
        <f t="shared" si="2"/>
        <v>25000000</v>
      </c>
      <c r="I28" s="59">
        <f>IF('Cap Pricer'!$E$22=DataValidation!$C$2,'Cap Pricer'!$E$23,IF('Cap Pricer'!$E$22=DataValidation!$C$3,VLOOKUP($B28,'Cap Pricer'!$C$25:$E$31,3),""))</f>
        <v>0.02</v>
      </c>
      <c r="J28" s="57">
        <f>Volatilities_Resets!$E17*0.01</f>
        <v>4.7253200000000002E-2</v>
      </c>
      <c r="K28" s="61">
        <f>IF(I28=L$11,Volatilities_Resets!$AA17,IF(I28&gt;=K$11,IF(I28&lt;L$11,(((Volatilities_Resets!$AA17-Volatilities_Resets!$Y17)/50)*((Calculator!I28-Calculator!K$11)*10000)+Volatilities_Resets!$Y17)),IF(I28&gt;=K$10,IF(I28&lt;L$10,(((Volatilities_Resets!$Y17-Volatilities_Resets!$W17)/50)*((Calculator!I28-Calculator!K$10)*10000)+Volatilities_Resets!$W17)),IF(I28&gt;=K$9,IF(I28&lt;L$9,(((Volatilities_Resets!$W17-Volatilities_Resets!$U17)/50)*((Calculator!I28-Calculator!K$9)*10000)+Volatilities_Resets!$U17)),IF(I28&gt;=K$8,IF(I28&lt;L$8,(((Volatilities_Resets!$U17-Volatilities_Resets!$S17)/50)*((Calculator!I28-Calculator!K$8)*10000)+Volatilities_Resets!$S17)),IF(I28&gt;=K$7,IF(I28&lt;L$7,(((Volatilities_Resets!$S17-Volatilities_Resets!$Q17)/50)*((Calculator!I28-Calculator!K$7)*10000)+Volatilities_Resets!$Q17)),IF(I28&gt;=K$6,IF(I28&lt;L$6,(((Volatilities_Resets!$Q17-Volatilities_Resets!$O17)/50)*((Calculator!I28-Calculator!K$6)*10000)+Volatilities_Resets!$O17)),IF(I28&gt;=K$5,IF(I28&lt;L$5,(((Volatilities_Resets!$O17-Volatilities_Resets!$M17)/50)*((Calculator!I28-Calculator!K$5)*10000)+Volatilities_Resets!$M17)),IF(I28&gt;=K$4,IF(I28&lt;L$4,(((Volatilities_Resets!$M17-Volatilities_Resets!$K17)/50)*((Calculator!I28-Calculator!K$4)*10000)+Volatilities_Resets!$K17)),IF(I28&gt;=K$3,IF(I28&lt;L$3,(((Volatilities_Resets!$K17-Volatilities_Resets!$I17)/50)*((Calculator!I28-Calculator!K$3)*10000)+Volatilities_Resets!$I17)),IF(I28&gt;=K$2,IF(I28&lt;L$2,(((Volatilities_Resets!$I17-Volatilities_Resets!$G17)/50)*((Calculator!I28-Calculator!K$2)*10000)+Volatilities_Resets!$G17)),"Well, something broke...")))))))))))/10000</f>
        <v>2.1219999999999999E-2</v>
      </c>
      <c r="L28" s="47">
        <f t="shared" ca="1" si="17"/>
        <v>57869.976248948617</v>
      </c>
      <c r="M28" s="63">
        <f t="shared" ca="1" si="18"/>
        <v>2.3165588826085351E-3</v>
      </c>
      <c r="N28" s="63">
        <f t="shared" ca="1" si="44"/>
        <v>940972.95092900959</v>
      </c>
      <c r="Q28" s="63">
        <f t="shared" ca="1" si="19"/>
        <v>41.34377868206883</v>
      </c>
      <c r="R28" s="63">
        <f ca="1">SUM($Q$15:Q28)</f>
        <v>199.55801109745346</v>
      </c>
      <c r="T28" s="52">
        <f ca="1">EXP(-AVERAGE(J$15:J28)*G28)</f>
        <v>0.93972068692320998</v>
      </c>
      <c r="U28" s="57"/>
      <c r="V28" s="52">
        <f t="shared" ca="1" si="20"/>
        <v>14</v>
      </c>
      <c r="W28" s="71">
        <f t="shared" ca="1" si="21"/>
        <v>45587</v>
      </c>
      <c r="X28" s="71">
        <f t="shared" ca="1" si="3"/>
        <v>45618</v>
      </c>
      <c r="Y28" s="72">
        <f t="shared" ca="1" si="4"/>
        <v>31</v>
      </c>
      <c r="Z28" s="73">
        <f ca="1">SUM(Y$15:Y28)/360</f>
        <v>1.1861111111111111</v>
      </c>
      <c r="AA28" s="74">
        <f t="shared" si="22"/>
        <v>25000000</v>
      </c>
      <c r="AB28" s="59">
        <f t="shared" si="23"/>
        <v>0.03</v>
      </c>
      <c r="AC28" s="57">
        <f>Volatilities_Resets!$E17*0.01</f>
        <v>4.7253200000000002E-2</v>
      </c>
      <c r="AD28" s="61">
        <f>IF(AB28=AE$11,Volatilities_Resets!$AA17,IF(AB28&gt;=AD$11,IF(AB28&lt;AE$11,(((Volatilities_Resets!$AA17-Volatilities_Resets!$Y17)/50)*((Calculator!AB28-Calculator!AD$11)*10000)+Volatilities_Resets!$Y17)),IF(AB28&gt;=AD$10,IF(AB28&lt;AE$10,(((Volatilities_Resets!$Y17-Volatilities_Resets!$W17)/50)*((Calculator!AB28-Calculator!AD$10)*10000)+Volatilities_Resets!$W17)),IF(AB28&gt;=AD$9,IF(AB28&lt;AE$9,(((Volatilities_Resets!$W17-Volatilities_Resets!$U17)/50)*((Calculator!AB28-Calculator!AD$9)*10000)+Volatilities_Resets!$U17)),IF(AB28&gt;=AD$8,IF(AB28&lt;AE$8,(((Volatilities_Resets!$U17-Volatilities_Resets!$S17)/50)*((Calculator!AB28-Calculator!AD$8)*10000)+Volatilities_Resets!$S17)),IF(AB28&gt;=AD$7,IF(AB28&lt;AE$7,(((Volatilities_Resets!$S17-Volatilities_Resets!$Q17)/50)*((Calculator!AB28-Calculator!AD$7)*10000)+Volatilities_Resets!$Q17)),IF(AB28&gt;=AD$6,IF(AB28&lt;AE$6,(((Volatilities_Resets!$Q17-Volatilities_Resets!$O17)/50)*((Calculator!AB28-Calculator!AD$6)*10000)+Volatilities_Resets!$O17)),IF(AB28&gt;=AD$5,IF(AB28&lt;AE$5,(((Volatilities_Resets!$O17-Volatilities_Resets!$M17)/50)*((Calculator!AB28-Calculator!AD$5)*10000)+Volatilities_Resets!$M17)),IF(AB28&gt;=AD$4,IF(AB28&lt;AE$4,(((Volatilities_Resets!$M17-Volatilities_Resets!$K17)/50)*((Calculator!AB28-Calculator!AD$4)*10000)+Volatilities_Resets!$K17)),IF(AB28&gt;=AD$3,IF(AB28&lt;AE$3,(((Volatilities_Resets!$K17-Volatilities_Resets!$I17)/50)*((Calculator!AB28-Calculator!AD$3)*10000)+Volatilities_Resets!$I17)),IF(AB28&gt;=AD$2,IF(AB28&lt;AE$2,(((Volatilities_Resets!$I17-Volatilities_Resets!$G17)/50)*((Calculator!AB28-Calculator!AD$2)*10000)+Volatilities_Resets!$G17)),"Well, something broke...")))))))))))/10000</f>
        <v>1.881E-2</v>
      </c>
      <c r="AE28" s="63">
        <f t="shared" ca="1" si="24"/>
        <v>39525.132372329121</v>
      </c>
      <c r="AF28" s="63">
        <f t="shared" ca="1" si="25"/>
        <v>1.5834759987787925E-3</v>
      </c>
      <c r="AG28" s="63">
        <f t="shared" ca="1" si="45"/>
        <v>661527.71680654946</v>
      </c>
      <c r="AJ28" s="63">
        <f t="shared" ca="1" si="26"/>
        <v>58.044288814645185</v>
      </c>
      <c r="AK28" s="63">
        <f ca="1">SUM($AJ$15:AJ28)</f>
        <v>300.6658786637974</v>
      </c>
      <c r="AM28" s="52">
        <f ca="1">EXP(-AVERAGE(AC$15:AC28)*Z28)</f>
        <v>0.93972068692320998</v>
      </c>
      <c r="AO28" s="52">
        <f t="shared" ca="1" si="27"/>
        <v>14</v>
      </c>
      <c r="AP28" s="71">
        <f t="shared" ca="1" si="28"/>
        <v>45587</v>
      </c>
      <c r="AQ28" s="71">
        <f t="shared" ca="1" si="5"/>
        <v>45618</v>
      </c>
      <c r="AR28" s="72">
        <f t="shared" ca="1" si="6"/>
        <v>31</v>
      </c>
      <c r="AS28" s="73">
        <f ca="1">SUM(AR$15:AR28)/360</f>
        <v>1.1861111111111111</v>
      </c>
      <c r="AT28" s="74">
        <f t="shared" si="7"/>
        <v>25000000</v>
      </c>
      <c r="AU28" s="59">
        <f t="shared" si="29"/>
        <v>0.04</v>
      </c>
      <c r="AV28" s="57">
        <f>Volatilities_Resets!$E17*0.01</f>
        <v>4.7253200000000002E-2</v>
      </c>
      <c r="AW28" s="61">
        <f>IF(AU28=AX$11,Volatilities_Resets!$AA17,IF(AU28&gt;=AW$11,IF(AU28&lt;AX$11,(((Volatilities_Resets!$AA17-Volatilities_Resets!$Y17)/50)*((Calculator!AU28-Calculator!AW$11)*10000)+Volatilities_Resets!$Y17)),IF(AU28&gt;=AW$10,IF(AU28&lt;AX$10,(((Volatilities_Resets!$Y17-Volatilities_Resets!$W17)/50)*((Calculator!AU28-Calculator!AW$10)*10000)+Volatilities_Resets!$W17)),IF(AU28&gt;=AW$9,IF(AU28&lt;AX$9,(((Volatilities_Resets!$W17-Volatilities_Resets!$U17)/50)*((Calculator!AU28-Calculator!AW$9)*10000)+Volatilities_Resets!$U17)),IF(AU28&gt;=AW$8,IF(AU28&lt;AX$8,(((Volatilities_Resets!$U17-Volatilities_Resets!$S17)/50)*((Calculator!AU28-Calculator!AW$8)*10000)+Volatilities_Resets!$S17)),IF(AU28&gt;=AW$7,IF(AU28&lt;AX$7,(((Volatilities_Resets!$S17-Volatilities_Resets!$Q17)/50)*((Calculator!AU28-Calculator!AW$7)*10000)+Volatilities_Resets!$Q17)),IF(AU28&gt;=AW$6,IF(AU28&lt;AX$6,(((Volatilities_Resets!$Q17-Volatilities_Resets!$O17)/50)*((Calculator!AU28-Calculator!AW$6)*10000)+Volatilities_Resets!$O17)),IF(AU28&gt;=AW$5,IF(AU28&lt;AX$5,(((Volatilities_Resets!$O17-Volatilities_Resets!$M17)/50)*((Calculator!AU28-Calculator!AW$5)*10000)+Volatilities_Resets!$M17)),IF(AU28&gt;=AW$4,IF(AU28&lt;AX$4,(((Volatilities_Resets!$M17-Volatilities_Resets!$K17)/50)*((Calculator!AU28-Calculator!AW$4)*10000)+Volatilities_Resets!$K17)),IF(AU28&gt;=AW$3,IF(AU28&lt;AX$3,(((Volatilities_Resets!$K17-Volatilities_Resets!$I17)/50)*((Calculator!AU28-Calculator!AW$3)*10000)+Volatilities_Resets!$I17)),IF(AU28&gt;=AW$2,IF(AU28&lt;AX$2,(((Volatilities_Resets!$I17-Volatilities_Resets!$G17)/50)*((Calculator!AU28-Calculator!AW$2)*10000)+Volatilities_Resets!$G17)),"Well, something broke...")))))))))))/10000</f>
        <v>1.5911999999999999E-2</v>
      </c>
      <c r="AX28" s="63">
        <f t="shared" ca="1" si="30"/>
        <v>22530.175325771364</v>
      </c>
      <c r="AY28" s="63">
        <f t="shared" ca="1" si="31"/>
        <v>9.0442977688199536E-4</v>
      </c>
      <c r="AZ28" s="63">
        <f t="shared" ca="1" si="46"/>
        <v>387070.42871785694</v>
      </c>
      <c r="BC28" s="63">
        <f t="shared" ca="1" si="8"/>
        <v>75.712446499631866</v>
      </c>
      <c r="BD28" s="63">
        <f ca="1">SUM($BC$15:BC28)</f>
        <v>447.85341150108121</v>
      </c>
      <c r="BF28" s="52">
        <f ca="1">EXP(-AVERAGE(AV$15:AV28)*AS28)</f>
        <v>0.93972068692320998</v>
      </c>
      <c r="BH28" s="52">
        <f t="shared" ca="1" si="32"/>
        <v>14</v>
      </c>
      <c r="BI28" s="71">
        <f t="shared" ca="1" si="33"/>
        <v>45587</v>
      </c>
      <c r="BJ28" s="71">
        <f t="shared" ca="1" si="9"/>
        <v>45618</v>
      </c>
      <c r="BK28" s="72">
        <f t="shared" ca="1" si="10"/>
        <v>31</v>
      </c>
      <c r="BL28" s="73">
        <f ca="1">SUM(BK$15:BK28)/360</f>
        <v>1.1861111111111111</v>
      </c>
      <c r="BM28" s="74">
        <f t="shared" si="11"/>
        <v>25000000</v>
      </c>
      <c r="BN28" s="59">
        <f t="shared" si="34"/>
        <v>0.05</v>
      </c>
      <c r="BO28" s="57">
        <f>Volatilities_Resets!$E17*0.01</f>
        <v>4.7253200000000002E-2</v>
      </c>
      <c r="BP28" s="61">
        <f>IF(BN28=BQ$11,Volatilities_Resets!$AA17,IF(BN28&gt;=BP$11,IF(BN28&lt;BQ$11,(((Volatilities_Resets!$AA17-Volatilities_Resets!$Y17)/50)*((Calculator!BN28-Calculator!BP$11)*10000)+Volatilities_Resets!$Y17)),IF(BN28&gt;=BP$10,IF(BN28&lt;BQ$10,(((Volatilities_Resets!$Y17-Volatilities_Resets!$W17)/50)*((Calculator!BN28-Calculator!BP$10)*10000)+Volatilities_Resets!$W17)),IF(BN28&gt;=BP$9,IF(BN28&lt;BQ$9,(((Volatilities_Resets!$W17-Volatilities_Resets!$U17)/50)*((Calculator!BN28-Calculator!BP$9)*10000)+Volatilities_Resets!$U17)),IF(BN28&gt;=BP$8,IF(BN28&lt;BQ$8,(((Volatilities_Resets!$U17-Volatilities_Resets!$S17)/50)*((Calculator!BN28-Calculator!BP$8)*10000)+Volatilities_Resets!$S17)),IF(BN28&gt;=BP$7,IF(BN28&lt;BQ$7,(((Volatilities_Resets!$S17-Volatilities_Resets!$Q17)/50)*((Calculator!BN28-Calculator!BP$7)*10000)+Volatilities_Resets!$Q17)),IF(BN28&gt;=BP$6,IF(BN28&lt;BQ$6,(((Volatilities_Resets!$Q17-Volatilities_Resets!$O17)/50)*((Calculator!BN28-Calculator!BP$6)*10000)+Volatilities_Resets!$O17)),IF(BN28&gt;=BP$5,IF(BN28&lt;BQ$5,(((Volatilities_Resets!$O17-Volatilities_Resets!$M17)/50)*((Calculator!BN28-Calculator!BP$5)*10000)+Volatilities_Resets!$M17)),IF(BN28&gt;=BP$4,IF(BN28&lt;BQ$4,(((Volatilities_Resets!$M17-Volatilities_Resets!$K17)/50)*((Calculator!BN28-Calculator!BP$4)*10000)+Volatilities_Resets!$K17)),IF(BN28&gt;=BP$3,IF(BN28&lt;BQ$3,(((Volatilities_Resets!$K17-Volatilities_Resets!$I17)/50)*((Calculator!BN28-Calculator!BP$3)*10000)+Volatilities_Resets!$I17)),IF(BN28&gt;=BP$2,IF(BN28&lt;BQ$2,(((Volatilities_Resets!$I17-Volatilities_Resets!$G17)/50)*((Calculator!BN28-Calculator!BP$2)*10000)+Volatilities_Resets!$G17)),"Well, something broke...")))))))))))/10000</f>
        <v>1.3959000000000001E-2</v>
      </c>
      <c r="BQ28" s="63">
        <f t="shared" ca="1" si="35"/>
        <v>9690.7736363336917</v>
      </c>
      <c r="BR28" s="63">
        <f t="shared" ca="1" si="36"/>
        <v>3.9109027812857418E-4</v>
      </c>
      <c r="BS28" s="63">
        <f t="shared" ca="1" si="47"/>
        <v>137924.18091716664</v>
      </c>
      <c r="BV28" s="63">
        <f t="shared" ca="1" si="37"/>
        <v>81.270161946493488</v>
      </c>
      <c r="BW28" s="63">
        <f ca="1">SUM($BV$15:BV28)</f>
        <v>731.64302472654913</v>
      </c>
      <c r="BY28" s="52">
        <f ca="1">EXP(-AVERAGE(BO$15:BO28)*BL28)</f>
        <v>0.93972068692320998</v>
      </c>
      <c r="CA28" s="52">
        <f t="shared" ca="1" si="38"/>
        <v>14</v>
      </c>
      <c r="CB28" s="71">
        <f t="shared" ca="1" si="39"/>
        <v>45587</v>
      </c>
      <c r="CC28" s="71">
        <f t="shared" ca="1" si="12"/>
        <v>45618</v>
      </c>
      <c r="CD28" s="72">
        <f t="shared" ca="1" si="13"/>
        <v>31</v>
      </c>
      <c r="CE28" s="73">
        <f ca="1">SUM(CD$15:CD28)/360</f>
        <v>1.1861111111111111</v>
      </c>
      <c r="CF28" s="74">
        <f t="shared" si="14"/>
        <v>25000000</v>
      </c>
      <c r="CG28" s="59">
        <f t="shared" si="40"/>
        <v>0.06</v>
      </c>
      <c r="CH28" s="57">
        <f>Volatilities_Resets!$E17*0.01</f>
        <v>4.7253200000000002E-2</v>
      </c>
      <c r="CI28" s="61">
        <f>IF(CG28=CJ$11,Volatilities_Resets!$AA17,IF(CG28&gt;=CI$11,IF(CG28&lt;CJ$11,(((Volatilities_Resets!$AA17-Volatilities_Resets!$Y17)/50)*((Calculator!CG28-Calculator!CI$11)*10000)+Volatilities_Resets!$Y17)),IF(CG28&gt;=CI$10,IF(CG28&lt;CJ$10,(((Volatilities_Resets!$Y17-Volatilities_Resets!$W17)/50)*((Calculator!CG28-Calculator!CI$10)*10000)+Volatilities_Resets!$W17)),IF(CG28&gt;=CI$9,IF(CG28&lt;CJ$9,(((Volatilities_Resets!$W17-Volatilities_Resets!$U17)/50)*((Calculator!CG28-Calculator!CI$9)*10000)+Volatilities_Resets!$U17)),IF(CG28&gt;=CI$8,IF(CG28&lt;CJ$8,(((Volatilities_Resets!$U17-Volatilities_Resets!$S17)/50)*((Calculator!CG28-Calculator!CI$8)*10000)+Volatilities_Resets!$S17)),IF(CG28&gt;=CI$7,IF(CG28&lt;CJ$7,(((Volatilities_Resets!$S17-Volatilities_Resets!$Q17)/50)*((Calculator!CG28-Calculator!CI$7)*10000)+Volatilities_Resets!$Q17)),IF(CG28&gt;=CI$6,IF(CG28&lt;CJ$6,(((Volatilities_Resets!$Q17-Volatilities_Resets!$O17)/50)*((Calculator!CG28-Calculator!CI$6)*10000)+Volatilities_Resets!$O17)),IF(CG28&gt;=CI$5,IF(CG28&lt;CJ$5,(((Volatilities_Resets!$O17-Volatilities_Resets!$M17)/50)*((Calculator!CG28-Calculator!CI$5)*10000)+Volatilities_Resets!$M17)),IF(CG28&gt;=CI$4,IF(CG28&lt;CJ$4,(((Volatilities_Resets!$M17-Volatilities_Resets!$K17)/50)*((Calculator!CG28-Calculator!CI$4)*10000)+Volatilities_Resets!$K17)),IF(CG28&gt;=CI$3,IF(CG28&lt;CJ$3,(((Volatilities_Resets!$K17-Volatilities_Resets!$I17)/50)*((Calculator!CG28-Calculator!CI$3)*10000)+Volatilities_Resets!$I17)),IF(CG28&gt;=CI$2,IF(CG28&lt;CJ$2,(((Volatilities_Resets!$I17-Volatilities_Resets!$G17)/50)*((Calculator!CG28-Calculator!CI$2)*10000)+Volatilities_Resets!$G17)),"Well, something broke...")))))))))))/10000</f>
        <v>1.3388999999999998E-2</v>
      </c>
      <c r="CJ28" s="63">
        <f t="shared" ca="1" si="41"/>
        <v>3105.577044194009</v>
      </c>
      <c r="CK28" s="63">
        <f t="shared" ca="1" si="42"/>
        <v>1.2662925891307613E-4</v>
      </c>
      <c r="CL28" s="63">
        <f t="shared" ca="1" si="48"/>
        <v>14464.929929185872</v>
      </c>
      <c r="CO28" s="63">
        <f t="shared" ca="1" si="43"/>
        <v>56.528360996376534</v>
      </c>
      <c r="CP28" s="63">
        <f ca="1">SUM($CO$15:CO28)</f>
        <v>430.20044245553737</v>
      </c>
      <c r="CR28" s="52">
        <f ca="1">EXP(-AVERAGE(CH$15:CH28)*CE28)</f>
        <v>0.93972068692320998</v>
      </c>
      <c r="CT28"/>
      <c r="CU28"/>
      <c r="CV28"/>
      <c r="CW28"/>
      <c r="CX28"/>
      <c r="CY28"/>
      <c r="CZ28"/>
      <c r="DA28"/>
      <c r="DB28"/>
      <c r="DC28"/>
      <c r="DD28"/>
      <c r="DE28"/>
      <c r="DF28"/>
      <c r="DG28"/>
      <c r="DH28"/>
      <c r="DI28"/>
      <c r="DJ28"/>
      <c r="DK28"/>
      <c r="DL28"/>
    </row>
    <row r="29" spans="2:116" ht="15.75" customHeight="1" x14ac:dyDescent="0.2">
      <c r="B29" s="52">
        <v>2</v>
      </c>
      <c r="C29" s="52">
        <f t="shared" ca="1" si="15"/>
        <v>15</v>
      </c>
      <c r="D29" s="71">
        <f t="shared" ca="1" si="16"/>
        <v>45618</v>
      </c>
      <c r="E29" s="71">
        <f t="shared" ca="1" si="0"/>
        <v>45648</v>
      </c>
      <c r="F29" s="72">
        <f t="shared" ca="1" si="1"/>
        <v>30</v>
      </c>
      <c r="G29" s="73">
        <f ca="1">SUM($F$15:F29)/360</f>
        <v>1.2694444444444444</v>
      </c>
      <c r="H29" s="74">
        <f t="shared" si="2"/>
        <v>25000000</v>
      </c>
      <c r="I29" s="59">
        <f>IF('Cap Pricer'!$E$22=DataValidation!$C$2,'Cap Pricer'!$E$23,IF('Cap Pricer'!$E$22=DataValidation!$C$3,VLOOKUP($B29,'Cap Pricer'!$C$25:$E$31,3),""))</f>
        <v>0.02</v>
      </c>
      <c r="J29" s="57">
        <f>Volatilities_Resets!$E18*0.01</f>
        <v>4.7247000000000004E-2</v>
      </c>
      <c r="K29" s="61">
        <f>IF(I29=L$11,Volatilities_Resets!$AA18,IF(I29&gt;=K$11,IF(I29&lt;L$11,(((Volatilities_Resets!$AA18-Volatilities_Resets!$Y18)/50)*((Calculator!I29-Calculator!K$11)*10000)+Volatilities_Resets!$Y18)),IF(I29&gt;=K$10,IF(I29&lt;L$10,(((Volatilities_Resets!$Y18-Volatilities_Resets!$W18)/50)*((Calculator!I29-Calculator!K$10)*10000)+Volatilities_Resets!$W18)),IF(I29&gt;=K$9,IF(I29&lt;L$9,(((Volatilities_Resets!$W18-Volatilities_Resets!$U18)/50)*((Calculator!I29-Calculator!K$9)*10000)+Volatilities_Resets!$U18)),IF(I29&gt;=K$8,IF(I29&lt;L$8,(((Volatilities_Resets!$U18-Volatilities_Resets!$S18)/50)*((Calculator!I29-Calculator!K$8)*10000)+Volatilities_Resets!$S18)),IF(I29&gt;=K$7,IF(I29&lt;L$7,(((Volatilities_Resets!$S18-Volatilities_Resets!$Q18)/50)*((Calculator!I29-Calculator!K$7)*10000)+Volatilities_Resets!$Q18)),IF(I29&gt;=K$6,IF(I29&lt;L$6,(((Volatilities_Resets!$Q18-Volatilities_Resets!$O18)/50)*((Calculator!I29-Calculator!K$6)*10000)+Volatilities_Resets!$O18)),IF(I29&gt;=K$5,IF(I29&lt;L$5,(((Volatilities_Resets!$O18-Volatilities_Resets!$M18)/50)*((Calculator!I29-Calculator!K$5)*10000)+Volatilities_Resets!$M18)),IF(I29&gt;=K$4,IF(I29&lt;L$4,(((Volatilities_Resets!$M18-Volatilities_Resets!$K18)/50)*((Calculator!I29-Calculator!K$4)*10000)+Volatilities_Resets!$K18)),IF(I29&gt;=K$3,IF(I29&lt;L$3,(((Volatilities_Resets!$K18-Volatilities_Resets!$I18)/50)*((Calculator!I29-Calculator!K$3)*10000)+Volatilities_Resets!$I18)),IF(I29&gt;=K$2,IF(I29&lt;L$2,(((Volatilities_Resets!$I18-Volatilities_Resets!$G18)/50)*((Calculator!I29-Calculator!K$2)*10000)+Volatilities_Resets!$G18)),"Well, something broke...")))))))))))/10000</f>
        <v>2.1219999999999999E-2</v>
      </c>
      <c r="L29" s="47">
        <f t="shared" ca="1" si="17"/>
        <v>56090.016785451677</v>
      </c>
      <c r="M29" s="63">
        <f t="shared" ca="1" si="18"/>
        <v>2.2454377433691539E-3</v>
      </c>
      <c r="N29" s="63">
        <f t="shared" ca="1" si="44"/>
        <v>997062.96771446127</v>
      </c>
      <c r="Q29" s="63">
        <f t="shared" ca="1" si="19"/>
        <v>42.989059826181659</v>
      </c>
      <c r="R29" s="63">
        <f ca="1">SUM($Q$15:Q29)</f>
        <v>242.54707092363512</v>
      </c>
      <c r="T29" s="52">
        <f ca="1">EXP(-AVERAGE(J$15:J29)*G29)</f>
        <v>0.93603431919474256</v>
      </c>
      <c r="U29" s="57"/>
      <c r="V29" s="52">
        <f t="shared" ca="1" si="20"/>
        <v>15</v>
      </c>
      <c r="W29" s="71">
        <f t="shared" ca="1" si="21"/>
        <v>45618</v>
      </c>
      <c r="X29" s="71">
        <f t="shared" ca="1" si="3"/>
        <v>45648</v>
      </c>
      <c r="Y29" s="72">
        <f t="shared" ca="1" si="4"/>
        <v>30</v>
      </c>
      <c r="Z29" s="73">
        <f ca="1">SUM(Y$15:Y29)/360</f>
        <v>1.2694444444444444</v>
      </c>
      <c r="AA29" s="74">
        <f t="shared" si="22"/>
        <v>25000000</v>
      </c>
      <c r="AB29" s="59">
        <f t="shared" si="23"/>
        <v>0.03</v>
      </c>
      <c r="AC29" s="57">
        <f>Volatilities_Resets!$E18*0.01</f>
        <v>4.7247000000000004E-2</v>
      </c>
      <c r="AD29" s="61">
        <f>IF(AB29=AE$11,Volatilities_Resets!$AA18,IF(AB29&gt;=AD$11,IF(AB29&lt;AE$11,(((Volatilities_Resets!$AA18-Volatilities_Resets!$Y18)/50)*((Calculator!AB29-Calculator!AD$11)*10000)+Volatilities_Resets!$Y18)),IF(AB29&gt;=AD$10,IF(AB29&lt;AE$10,(((Volatilities_Resets!$Y18-Volatilities_Resets!$W18)/50)*((Calculator!AB29-Calculator!AD$10)*10000)+Volatilities_Resets!$W18)),IF(AB29&gt;=AD$9,IF(AB29&lt;AE$9,(((Volatilities_Resets!$W18-Volatilities_Resets!$U18)/50)*((Calculator!AB29-Calculator!AD$9)*10000)+Volatilities_Resets!$U18)),IF(AB29&gt;=AD$8,IF(AB29&lt;AE$8,(((Volatilities_Resets!$U18-Volatilities_Resets!$S18)/50)*((Calculator!AB29-Calculator!AD$8)*10000)+Volatilities_Resets!$S18)),IF(AB29&gt;=AD$7,IF(AB29&lt;AE$7,(((Volatilities_Resets!$S18-Volatilities_Resets!$Q18)/50)*((Calculator!AB29-Calculator!AD$7)*10000)+Volatilities_Resets!$Q18)),IF(AB29&gt;=AD$6,IF(AB29&lt;AE$6,(((Volatilities_Resets!$Q18-Volatilities_Resets!$O18)/50)*((Calculator!AB29-Calculator!AD$6)*10000)+Volatilities_Resets!$O18)),IF(AB29&gt;=AD$5,IF(AB29&lt;AE$5,(((Volatilities_Resets!$O18-Volatilities_Resets!$M18)/50)*((Calculator!AB29-Calculator!AD$5)*10000)+Volatilities_Resets!$M18)),IF(AB29&gt;=AD$4,IF(AB29&lt;AE$4,(((Volatilities_Resets!$M18-Volatilities_Resets!$K18)/50)*((Calculator!AB29-Calculator!AD$4)*10000)+Volatilities_Resets!$K18)),IF(AB29&gt;=AD$3,IF(AB29&lt;AE$3,(((Volatilities_Resets!$K18-Volatilities_Resets!$I18)/50)*((Calculator!AB29-Calculator!AD$3)*10000)+Volatilities_Resets!$I18)),IF(AB29&gt;=AD$2,IF(AB29&lt;AE$2,(((Volatilities_Resets!$I18-Volatilities_Resets!$G18)/50)*((Calculator!AB29-Calculator!AD$2)*10000)+Volatilities_Resets!$G18)),"Well, something broke...")))))))))))/10000</f>
        <v>1.8808000000000002E-2</v>
      </c>
      <c r="AE29" s="63">
        <f t="shared" ca="1" si="24"/>
        <v>38479.874181895226</v>
      </c>
      <c r="AF29" s="63">
        <f t="shared" ca="1" si="25"/>
        <v>1.5417169811085916E-3</v>
      </c>
      <c r="AG29" s="63">
        <f t="shared" ca="1" si="45"/>
        <v>700007.59098844463</v>
      </c>
      <c r="AJ29" s="63">
        <f t="shared" ca="1" si="26"/>
        <v>59.017287524209685</v>
      </c>
      <c r="AK29" s="63">
        <f ca="1">SUM($AJ$15:AJ29)</f>
        <v>359.68316618800708</v>
      </c>
      <c r="AM29" s="52">
        <f ca="1">EXP(-AVERAGE(AC$15:AC29)*Z29)</f>
        <v>0.93603431919474256</v>
      </c>
      <c r="AO29" s="52">
        <f t="shared" ca="1" si="27"/>
        <v>15</v>
      </c>
      <c r="AP29" s="71">
        <f t="shared" ca="1" si="28"/>
        <v>45618</v>
      </c>
      <c r="AQ29" s="71">
        <f t="shared" ca="1" si="5"/>
        <v>45648</v>
      </c>
      <c r="AR29" s="72">
        <f t="shared" ca="1" si="6"/>
        <v>30</v>
      </c>
      <c r="AS29" s="73">
        <f ca="1">SUM(AR$15:AR29)/360</f>
        <v>1.2694444444444444</v>
      </c>
      <c r="AT29" s="74">
        <f t="shared" si="7"/>
        <v>25000000</v>
      </c>
      <c r="AU29" s="59">
        <f t="shared" si="29"/>
        <v>0.04</v>
      </c>
      <c r="AV29" s="57">
        <f>Volatilities_Resets!$E18*0.01</f>
        <v>4.7247000000000004E-2</v>
      </c>
      <c r="AW29" s="61">
        <f>IF(AU29=AX$11,Volatilities_Resets!$AA18,IF(AU29&gt;=AW$11,IF(AU29&lt;AX$11,(((Volatilities_Resets!$AA18-Volatilities_Resets!$Y18)/50)*((Calculator!AU29-Calculator!AW$11)*10000)+Volatilities_Resets!$Y18)),IF(AU29&gt;=AW$10,IF(AU29&lt;AX$10,(((Volatilities_Resets!$Y18-Volatilities_Resets!$W18)/50)*((Calculator!AU29-Calculator!AW$10)*10000)+Volatilities_Resets!$W18)),IF(AU29&gt;=AW$9,IF(AU29&lt;AX$9,(((Volatilities_Resets!$W18-Volatilities_Resets!$U18)/50)*((Calculator!AU29-Calculator!AW$9)*10000)+Volatilities_Resets!$U18)),IF(AU29&gt;=AW$8,IF(AU29&lt;AX$8,(((Volatilities_Resets!$U18-Volatilities_Resets!$S18)/50)*((Calculator!AU29-Calculator!AW$8)*10000)+Volatilities_Resets!$S18)),IF(AU29&gt;=AW$7,IF(AU29&lt;AX$7,(((Volatilities_Resets!$S18-Volatilities_Resets!$Q18)/50)*((Calculator!AU29-Calculator!AW$7)*10000)+Volatilities_Resets!$Q18)),IF(AU29&gt;=AW$6,IF(AU29&lt;AX$6,(((Volatilities_Resets!$Q18-Volatilities_Resets!$O18)/50)*((Calculator!AU29-Calculator!AW$6)*10000)+Volatilities_Resets!$O18)),IF(AU29&gt;=AW$5,IF(AU29&lt;AX$5,(((Volatilities_Resets!$O18-Volatilities_Resets!$M18)/50)*((Calculator!AU29-Calculator!AW$5)*10000)+Volatilities_Resets!$M18)),IF(AU29&gt;=AW$4,IF(AU29&lt;AX$4,(((Volatilities_Resets!$M18-Volatilities_Resets!$K18)/50)*((Calculator!AU29-Calculator!AW$4)*10000)+Volatilities_Resets!$K18)),IF(AU29&gt;=AW$3,IF(AU29&lt;AX$3,(((Volatilities_Resets!$K18-Volatilities_Resets!$I18)/50)*((Calculator!AU29-Calculator!AW$3)*10000)+Volatilities_Resets!$I18)),IF(AU29&gt;=AW$2,IF(AU29&lt;AX$2,(((Volatilities_Resets!$I18-Volatilities_Resets!$G18)/50)*((Calculator!AU29-Calculator!AW$2)*10000)+Volatilities_Resets!$G18)),"Well, something broke...")))))))))))/10000</f>
        <v>1.5909E-2</v>
      </c>
      <c r="AX29" s="63">
        <f t="shared" ca="1" si="30"/>
        <v>22135.264245030015</v>
      </c>
      <c r="AY29" s="63">
        <f t="shared" ca="1" si="31"/>
        <v>8.8864318372111118E-4</v>
      </c>
      <c r="AZ29" s="63">
        <f t="shared" ca="1" si="46"/>
        <v>409205.69296288694</v>
      </c>
      <c r="BC29" s="63">
        <f t="shared" ca="1" si="8"/>
        <v>75.645939243574333</v>
      </c>
      <c r="BD29" s="63">
        <f ca="1">SUM($BC$15:BC29)</f>
        <v>523.49935074465554</v>
      </c>
      <c r="BF29" s="52">
        <f ca="1">EXP(-AVERAGE(AV$15:AV29)*AS29)</f>
        <v>0.93603431919474256</v>
      </c>
      <c r="BH29" s="52">
        <f t="shared" ca="1" si="32"/>
        <v>15</v>
      </c>
      <c r="BI29" s="71">
        <f t="shared" ca="1" si="33"/>
        <v>45618</v>
      </c>
      <c r="BJ29" s="71">
        <f t="shared" ca="1" si="9"/>
        <v>45648</v>
      </c>
      <c r="BK29" s="72">
        <f t="shared" ca="1" si="10"/>
        <v>30</v>
      </c>
      <c r="BL29" s="73">
        <f ca="1">SUM(BK$15:BK29)/360</f>
        <v>1.2694444444444444</v>
      </c>
      <c r="BM29" s="74">
        <f t="shared" si="11"/>
        <v>25000000</v>
      </c>
      <c r="BN29" s="59">
        <f t="shared" si="34"/>
        <v>0.05</v>
      </c>
      <c r="BO29" s="57">
        <f>Volatilities_Resets!$E18*0.01</f>
        <v>4.7247000000000004E-2</v>
      </c>
      <c r="BP29" s="61">
        <f>IF(BN29=BQ$11,Volatilities_Resets!$AA18,IF(BN29&gt;=BP$11,IF(BN29&lt;BQ$11,(((Volatilities_Resets!$AA18-Volatilities_Resets!$Y18)/50)*((Calculator!BN29-Calculator!BP$11)*10000)+Volatilities_Resets!$Y18)),IF(BN29&gt;=BP$10,IF(BN29&lt;BQ$10,(((Volatilities_Resets!$Y18-Volatilities_Resets!$W18)/50)*((Calculator!BN29-Calculator!BP$10)*10000)+Volatilities_Resets!$W18)),IF(BN29&gt;=BP$9,IF(BN29&lt;BQ$9,(((Volatilities_Resets!$W18-Volatilities_Resets!$U18)/50)*((Calculator!BN29-Calculator!BP$9)*10000)+Volatilities_Resets!$U18)),IF(BN29&gt;=BP$8,IF(BN29&lt;BQ$8,(((Volatilities_Resets!$U18-Volatilities_Resets!$S18)/50)*((Calculator!BN29-Calculator!BP$8)*10000)+Volatilities_Resets!$S18)),IF(BN29&gt;=BP$7,IF(BN29&lt;BQ$7,(((Volatilities_Resets!$S18-Volatilities_Resets!$Q18)/50)*((Calculator!BN29-Calculator!BP$7)*10000)+Volatilities_Resets!$Q18)),IF(BN29&gt;=BP$6,IF(BN29&lt;BQ$6,(((Volatilities_Resets!$Q18-Volatilities_Resets!$O18)/50)*((Calculator!BN29-Calculator!BP$6)*10000)+Volatilities_Resets!$O18)),IF(BN29&gt;=BP$5,IF(BN29&lt;BQ$5,(((Volatilities_Resets!$O18-Volatilities_Resets!$M18)/50)*((Calculator!BN29-Calculator!BP$5)*10000)+Volatilities_Resets!$M18)),IF(BN29&gt;=BP$4,IF(BN29&lt;BQ$4,(((Volatilities_Resets!$M18-Volatilities_Resets!$K18)/50)*((Calculator!BN29-Calculator!BP$4)*10000)+Volatilities_Resets!$K18)),IF(BN29&gt;=BP$3,IF(BN29&lt;BQ$3,(((Volatilities_Resets!$K18-Volatilities_Resets!$I18)/50)*((Calculator!BN29-Calculator!BP$3)*10000)+Volatilities_Resets!$I18)),IF(BN29&gt;=BP$2,IF(BN29&lt;BQ$2,(((Volatilities_Resets!$I18-Volatilities_Resets!$G18)/50)*((Calculator!BN29-Calculator!BP$2)*10000)+Volatilities_Resets!$G18)),"Well, something broke...")))))))))))/10000</f>
        <v>1.396E-2</v>
      </c>
      <c r="BQ29" s="63">
        <f t="shared" ca="1" si="35"/>
        <v>9739.0621083447095</v>
      </c>
      <c r="BR29" s="63">
        <f t="shared" ca="1" si="36"/>
        <v>3.9301568883493975E-4</v>
      </c>
      <c r="BS29" s="63">
        <f t="shared" ca="1" si="47"/>
        <v>147663.24302551136</v>
      </c>
      <c r="BV29" s="63">
        <f t="shared" ca="1" si="37"/>
        <v>80.807948106885846</v>
      </c>
      <c r="BW29" s="63">
        <f ca="1">SUM($BV$15:BV29)</f>
        <v>812.450972833435</v>
      </c>
      <c r="BY29" s="52">
        <f ca="1">EXP(-AVERAGE(BO$15:BO29)*BL29)</f>
        <v>0.93603431919474256</v>
      </c>
      <c r="CA29" s="52">
        <f t="shared" ca="1" si="38"/>
        <v>15</v>
      </c>
      <c r="CB29" s="71">
        <f t="shared" ca="1" si="39"/>
        <v>45618</v>
      </c>
      <c r="CC29" s="71">
        <f t="shared" ca="1" si="12"/>
        <v>45648</v>
      </c>
      <c r="CD29" s="72">
        <f t="shared" ca="1" si="13"/>
        <v>30</v>
      </c>
      <c r="CE29" s="73">
        <f ca="1">SUM(CD$15:CD29)/360</f>
        <v>1.2694444444444444</v>
      </c>
      <c r="CF29" s="74">
        <f t="shared" si="14"/>
        <v>25000000</v>
      </c>
      <c r="CG29" s="59">
        <f t="shared" si="40"/>
        <v>0.06</v>
      </c>
      <c r="CH29" s="57">
        <f>Volatilities_Resets!$E18*0.01</f>
        <v>4.7247000000000004E-2</v>
      </c>
      <c r="CI29" s="61">
        <f>IF(CG29=CJ$11,Volatilities_Resets!$AA18,IF(CG29&gt;=CI$11,IF(CG29&lt;CJ$11,(((Volatilities_Resets!$AA18-Volatilities_Resets!$Y18)/50)*((Calculator!CG29-Calculator!CI$11)*10000)+Volatilities_Resets!$Y18)),IF(CG29&gt;=CI$10,IF(CG29&lt;CJ$10,(((Volatilities_Resets!$Y18-Volatilities_Resets!$W18)/50)*((Calculator!CG29-Calculator!CI$10)*10000)+Volatilities_Resets!$W18)),IF(CG29&gt;=CI$9,IF(CG29&lt;CJ$9,(((Volatilities_Resets!$W18-Volatilities_Resets!$U18)/50)*((Calculator!CG29-Calculator!CI$9)*10000)+Volatilities_Resets!$U18)),IF(CG29&gt;=CI$8,IF(CG29&lt;CJ$8,(((Volatilities_Resets!$U18-Volatilities_Resets!$S18)/50)*((Calculator!CG29-Calculator!CI$8)*10000)+Volatilities_Resets!$S18)),IF(CG29&gt;=CI$7,IF(CG29&lt;CJ$7,(((Volatilities_Resets!$S18-Volatilities_Resets!$Q18)/50)*((Calculator!CG29-Calculator!CI$7)*10000)+Volatilities_Resets!$Q18)),IF(CG29&gt;=CI$6,IF(CG29&lt;CJ$6,(((Volatilities_Resets!$Q18-Volatilities_Resets!$O18)/50)*((Calculator!CG29-Calculator!CI$6)*10000)+Volatilities_Resets!$O18)),IF(CG29&gt;=CI$5,IF(CG29&lt;CJ$5,(((Volatilities_Resets!$O18-Volatilities_Resets!$M18)/50)*((Calculator!CG29-Calculator!CI$5)*10000)+Volatilities_Resets!$M18)),IF(CG29&gt;=CI$4,IF(CG29&lt;CJ$4,(((Volatilities_Resets!$M18-Volatilities_Resets!$K18)/50)*((Calculator!CG29-Calculator!CI$4)*10000)+Volatilities_Resets!$K18)),IF(CG29&gt;=CI$3,IF(CG29&lt;CJ$3,(((Volatilities_Resets!$K18-Volatilities_Resets!$I18)/50)*((Calculator!CG29-Calculator!CI$3)*10000)+Volatilities_Resets!$I18)),IF(CG29&gt;=CI$2,IF(CG29&lt;CJ$2,(((Volatilities_Resets!$I18-Volatilities_Resets!$G18)/50)*((Calculator!CG29-Calculator!CI$2)*10000)+Volatilities_Resets!$G18)),"Well, something broke...")))))))))))/10000</f>
        <v>1.3396000000000002E-2</v>
      </c>
      <c r="CJ29" s="63">
        <f t="shared" ca="1" si="41"/>
        <v>3266.2743344152082</v>
      </c>
      <c r="CK29" s="63">
        <f t="shared" ca="1" si="42"/>
        <v>1.3311104017186767E-4</v>
      </c>
      <c r="CL29" s="63">
        <f t="shared" ca="1" si="48"/>
        <v>17731.204263601081</v>
      </c>
      <c r="CO29" s="63">
        <f t="shared" ca="1" si="43"/>
        <v>57.567673696854364</v>
      </c>
      <c r="CP29" s="63">
        <f ca="1">SUM($CO$15:CO29)</f>
        <v>487.76811615239171</v>
      </c>
      <c r="CR29" s="52">
        <f ca="1">EXP(-AVERAGE(CH$15:CH29)*CE29)</f>
        <v>0.93603431919474256</v>
      </c>
      <c r="CT29"/>
      <c r="CU29"/>
      <c r="CV29"/>
      <c r="CW29"/>
      <c r="CX29"/>
      <c r="CY29"/>
      <c r="CZ29"/>
      <c r="DA29"/>
      <c r="DB29"/>
      <c r="DC29"/>
      <c r="DD29"/>
      <c r="DE29"/>
      <c r="DF29"/>
      <c r="DG29"/>
      <c r="DH29"/>
      <c r="DI29"/>
      <c r="DJ29"/>
      <c r="DK29"/>
      <c r="DL29"/>
    </row>
    <row r="30" spans="2:116" ht="15.75" customHeight="1" x14ac:dyDescent="0.2">
      <c r="B30" s="52">
        <v>2</v>
      </c>
      <c r="C30" s="52">
        <f t="shared" ca="1" si="15"/>
        <v>16</v>
      </c>
      <c r="D30" s="71">
        <f t="shared" ca="1" si="16"/>
        <v>45648</v>
      </c>
      <c r="E30" s="71">
        <f t="shared" ca="1" si="0"/>
        <v>45679</v>
      </c>
      <c r="F30" s="72">
        <f t="shared" ca="1" si="1"/>
        <v>31</v>
      </c>
      <c r="G30" s="73">
        <f ca="1">SUM($F$15:F30)/360</f>
        <v>1.3555555555555556</v>
      </c>
      <c r="H30" s="74">
        <f t="shared" si="2"/>
        <v>25000000</v>
      </c>
      <c r="I30" s="59">
        <f>IF('Cap Pricer'!$E$22=DataValidation!$C$2,'Cap Pricer'!$E$23,IF('Cap Pricer'!$E$22=DataValidation!$C$3,VLOOKUP($B30,'Cap Pricer'!$C$25:$E$31,3),""))</f>
        <v>0.02</v>
      </c>
      <c r="J30" s="57">
        <f>Volatilities_Resets!$E19*0.01</f>
        <v>4.7253200000000002E-2</v>
      </c>
      <c r="K30" s="61">
        <f>IF(I30=L$11,Volatilities_Resets!$AA19,IF(I30&gt;=K$11,IF(I30&lt;L$11,(((Volatilities_Resets!$AA19-Volatilities_Resets!$Y19)/50)*((Calculator!I30-Calculator!K$11)*10000)+Volatilities_Resets!$Y19)),IF(I30&gt;=K$10,IF(I30&lt;L$10,(((Volatilities_Resets!$Y19-Volatilities_Resets!$W19)/50)*((Calculator!I30-Calculator!K$10)*10000)+Volatilities_Resets!$W19)),IF(I30&gt;=K$9,IF(I30&lt;L$9,(((Volatilities_Resets!$W19-Volatilities_Resets!$U19)/50)*((Calculator!I30-Calculator!K$9)*10000)+Volatilities_Resets!$U19)),IF(I30&gt;=K$8,IF(I30&lt;L$8,(((Volatilities_Resets!$U19-Volatilities_Resets!$S19)/50)*((Calculator!I30-Calculator!K$8)*10000)+Volatilities_Resets!$S19)),IF(I30&gt;=K$7,IF(I30&lt;L$7,(((Volatilities_Resets!$S19-Volatilities_Resets!$Q19)/50)*((Calculator!I30-Calculator!K$7)*10000)+Volatilities_Resets!$Q19)),IF(I30&gt;=K$6,IF(I30&lt;L$6,(((Volatilities_Resets!$Q19-Volatilities_Resets!$O19)/50)*((Calculator!I30-Calculator!K$6)*10000)+Volatilities_Resets!$O19)),IF(I30&gt;=K$5,IF(I30&lt;L$5,(((Volatilities_Resets!$O19-Volatilities_Resets!$M19)/50)*((Calculator!I30-Calculator!K$5)*10000)+Volatilities_Resets!$M19)),IF(I30&gt;=K$4,IF(I30&lt;L$4,(((Volatilities_Resets!$M19-Volatilities_Resets!$K19)/50)*((Calculator!I30-Calculator!K$4)*10000)+Volatilities_Resets!$K19)),IF(I30&gt;=K$3,IF(I30&lt;L$3,(((Volatilities_Resets!$K19-Volatilities_Resets!$I19)/50)*((Calculator!I30-Calculator!K$3)*10000)+Volatilities_Resets!$I19)),IF(I30&gt;=K$2,IF(I30&lt;L$2,(((Volatilities_Resets!$I19-Volatilities_Resets!$G19)/50)*((Calculator!I30-Calculator!K$2)*10000)+Volatilities_Resets!$G19)),"Well, something broke...")))))))))))/10000</f>
        <v>2.1218999999999998E-2</v>
      </c>
      <c r="L30" s="47">
        <f t="shared" ca="1" si="17"/>
        <v>58074.855816384683</v>
      </c>
      <c r="M30" s="63">
        <f t="shared" ca="1" si="18"/>
        <v>2.3250290965827602E-3</v>
      </c>
      <c r="N30" s="63">
        <f t="shared" ca="1" si="44"/>
        <v>1055137.823530846</v>
      </c>
      <c r="Q30" s="63">
        <f t="shared" ca="1" si="19"/>
        <v>47.423880933130036</v>
      </c>
      <c r="R30" s="63">
        <f ca="1">SUM($Q$15:Q30)</f>
        <v>289.97095185676517</v>
      </c>
      <c r="T30" s="52">
        <f ca="1">EXP(-AVERAGE(J$15:J30)*G30)</f>
        <v>0.9322270702268648</v>
      </c>
      <c r="U30" s="57"/>
      <c r="V30" s="52">
        <f t="shared" ca="1" si="20"/>
        <v>16</v>
      </c>
      <c r="W30" s="71">
        <f t="shared" ca="1" si="21"/>
        <v>45648</v>
      </c>
      <c r="X30" s="71">
        <f t="shared" ca="1" si="3"/>
        <v>45679</v>
      </c>
      <c r="Y30" s="72">
        <f t="shared" ca="1" si="4"/>
        <v>31</v>
      </c>
      <c r="Z30" s="73">
        <f ca="1">SUM(Y$15:Y30)/360</f>
        <v>1.3555555555555556</v>
      </c>
      <c r="AA30" s="74">
        <f t="shared" si="22"/>
        <v>25000000</v>
      </c>
      <c r="AB30" s="59">
        <f t="shared" si="23"/>
        <v>0.03</v>
      </c>
      <c r="AC30" s="57">
        <f>Volatilities_Resets!$E19*0.01</f>
        <v>4.7253200000000002E-2</v>
      </c>
      <c r="AD30" s="61">
        <f>IF(AB30=AE$11,Volatilities_Resets!$AA19,IF(AB30&gt;=AD$11,IF(AB30&lt;AE$11,(((Volatilities_Resets!$AA19-Volatilities_Resets!$Y19)/50)*((Calculator!AB30-Calculator!AD$11)*10000)+Volatilities_Resets!$Y19)),IF(AB30&gt;=AD$10,IF(AB30&lt;AE$10,(((Volatilities_Resets!$Y19-Volatilities_Resets!$W19)/50)*((Calculator!AB30-Calculator!AD$10)*10000)+Volatilities_Resets!$W19)),IF(AB30&gt;=AD$9,IF(AB30&lt;AE$9,(((Volatilities_Resets!$W19-Volatilities_Resets!$U19)/50)*((Calculator!AB30-Calculator!AD$9)*10000)+Volatilities_Resets!$U19)),IF(AB30&gt;=AD$8,IF(AB30&lt;AE$8,(((Volatilities_Resets!$U19-Volatilities_Resets!$S19)/50)*((Calculator!AB30-Calculator!AD$8)*10000)+Volatilities_Resets!$S19)),IF(AB30&gt;=AD$7,IF(AB30&lt;AE$7,(((Volatilities_Resets!$S19-Volatilities_Resets!$Q19)/50)*((Calculator!AB30-Calculator!AD$7)*10000)+Volatilities_Resets!$Q19)),IF(AB30&gt;=AD$6,IF(AB30&lt;AE$6,(((Volatilities_Resets!$Q19-Volatilities_Resets!$O19)/50)*((Calculator!AB30-Calculator!AD$6)*10000)+Volatilities_Resets!$O19)),IF(AB30&gt;=AD$5,IF(AB30&lt;AE$5,(((Volatilities_Resets!$O19-Volatilities_Resets!$M19)/50)*((Calculator!AB30-Calculator!AD$5)*10000)+Volatilities_Resets!$M19)),IF(AB30&gt;=AD$4,IF(AB30&lt;AE$4,(((Volatilities_Resets!$M19-Volatilities_Resets!$K19)/50)*((Calculator!AB30-Calculator!AD$4)*10000)+Volatilities_Resets!$K19)),IF(AB30&gt;=AD$3,IF(AB30&lt;AE$3,(((Volatilities_Resets!$K19-Volatilities_Resets!$I19)/50)*((Calculator!AB30-Calculator!AD$3)*10000)+Volatilities_Resets!$I19)),IF(AB30&gt;=AD$2,IF(AB30&lt;AE$2,(((Volatilities_Resets!$I19-Volatilities_Resets!$G19)/50)*((Calculator!AB30-Calculator!AD$2)*10000)+Volatilities_Resets!$G19)),"Well, something broke...")))))))))))/10000</f>
        <v>1.8805000000000002E-2</v>
      </c>
      <c r="AE30" s="63">
        <f t="shared" ca="1" si="24"/>
        <v>40019.309938306607</v>
      </c>
      <c r="AF30" s="63">
        <f t="shared" ca="1" si="25"/>
        <v>1.603510310957312E-3</v>
      </c>
      <c r="AG30" s="63">
        <f t="shared" ca="1" si="45"/>
        <v>740026.9009267512</v>
      </c>
      <c r="AJ30" s="63">
        <f t="shared" ca="1" si="26"/>
        <v>63.808925269174843</v>
      </c>
      <c r="AK30" s="63">
        <f ca="1">SUM($AJ$15:AJ30)</f>
        <v>423.49209145718191</v>
      </c>
      <c r="AM30" s="52">
        <f ca="1">EXP(-AVERAGE(AC$15:AC30)*Z30)</f>
        <v>0.9322270702268648</v>
      </c>
      <c r="AO30" s="52">
        <f t="shared" ca="1" si="27"/>
        <v>16</v>
      </c>
      <c r="AP30" s="71">
        <f t="shared" ca="1" si="28"/>
        <v>45648</v>
      </c>
      <c r="AQ30" s="71">
        <f t="shared" ca="1" si="5"/>
        <v>45679</v>
      </c>
      <c r="AR30" s="72">
        <f t="shared" ca="1" si="6"/>
        <v>31</v>
      </c>
      <c r="AS30" s="73">
        <f ca="1">SUM(AR$15:AR30)/360</f>
        <v>1.3555555555555556</v>
      </c>
      <c r="AT30" s="74">
        <f t="shared" si="7"/>
        <v>25000000</v>
      </c>
      <c r="AU30" s="59">
        <f t="shared" si="29"/>
        <v>0.04</v>
      </c>
      <c r="AV30" s="57">
        <f>Volatilities_Resets!$E19*0.01</f>
        <v>4.7253200000000002E-2</v>
      </c>
      <c r="AW30" s="61">
        <f>IF(AU30=AX$11,Volatilities_Resets!$AA19,IF(AU30&gt;=AW$11,IF(AU30&lt;AX$11,(((Volatilities_Resets!$AA19-Volatilities_Resets!$Y19)/50)*((Calculator!AU30-Calculator!AW$11)*10000)+Volatilities_Resets!$Y19)),IF(AU30&gt;=AW$10,IF(AU30&lt;AX$10,(((Volatilities_Resets!$Y19-Volatilities_Resets!$W19)/50)*((Calculator!AU30-Calculator!AW$10)*10000)+Volatilities_Resets!$W19)),IF(AU30&gt;=AW$9,IF(AU30&lt;AX$9,(((Volatilities_Resets!$W19-Volatilities_Resets!$U19)/50)*((Calculator!AU30-Calculator!AW$9)*10000)+Volatilities_Resets!$U19)),IF(AU30&gt;=AW$8,IF(AU30&lt;AX$8,(((Volatilities_Resets!$U19-Volatilities_Resets!$S19)/50)*((Calculator!AU30-Calculator!AW$8)*10000)+Volatilities_Resets!$S19)),IF(AU30&gt;=AW$7,IF(AU30&lt;AX$7,(((Volatilities_Resets!$S19-Volatilities_Resets!$Q19)/50)*((Calculator!AU30-Calculator!AW$7)*10000)+Volatilities_Resets!$Q19)),IF(AU30&gt;=AW$6,IF(AU30&lt;AX$6,(((Volatilities_Resets!$Q19-Volatilities_Resets!$O19)/50)*((Calculator!AU30-Calculator!AW$6)*10000)+Volatilities_Resets!$O19)),IF(AU30&gt;=AW$5,IF(AU30&lt;AX$5,(((Volatilities_Resets!$O19-Volatilities_Resets!$M19)/50)*((Calculator!AU30-Calculator!AW$5)*10000)+Volatilities_Resets!$M19)),IF(AU30&gt;=AW$4,IF(AU30&lt;AX$4,(((Volatilities_Resets!$M19-Volatilities_Resets!$K19)/50)*((Calculator!AU30-Calculator!AW$4)*10000)+Volatilities_Resets!$K19)),IF(AU30&gt;=AW$3,IF(AU30&lt;AX$3,(((Volatilities_Resets!$K19-Volatilities_Resets!$I19)/50)*((Calculator!AU30-Calculator!AW$3)*10000)+Volatilities_Resets!$I19)),IF(AU30&gt;=AW$2,IF(AU30&lt;AX$2,(((Volatilities_Resets!$I19-Volatilities_Resets!$G19)/50)*((Calculator!AU30-Calculator!AW$2)*10000)+Volatilities_Resets!$G19)),"Well, something broke...")))))))))))/10000</f>
        <v>1.5907000000000001E-2</v>
      </c>
      <c r="AX30" s="63">
        <f t="shared" ca="1" si="30"/>
        <v>23228.807649335122</v>
      </c>
      <c r="AY30" s="63">
        <f t="shared" ca="1" si="31"/>
        <v>9.3260733679680714E-4</v>
      </c>
      <c r="AZ30" s="63">
        <f t="shared" ca="1" si="46"/>
        <v>432434.50061222207</v>
      </c>
      <c r="BC30" s="63">
        <f t="shared" ca="1" si="8"/>
        <v>80.521831551095687</v>
      </c>
      <c r="BD30" s="63">
        <f ca="1">SUM($BC$15:BC30)</f>
        <v>604.02118229575126</v>
      </c>
      <c r="BF30" s="52">
        <f ca="1">EXP(-AVERAGE(AV$15:AV30)*AS30)</f>
        <v>0.9322270702268648</v>
      </c>
      <c r="BH30" s="52">
        <f t="shared" ca="1" si="32"/>
        <v>16</v>
      </c>
      <c r="BI30" s="71">
        <f t="shared" ca="1" si="33"/>
        <v>45648</v>
      </c>
      <c r="BJ30" s="71">
        <f t="shared" ca="1" si="9"/>
        <v>45679</v>
      </c>
      <c r="BK30" s="72">
        <f t="shared" ca="1" si="10"/>
        <v>31</v>
      </c>
      <c r="BL30" s="73">
        <f ca="1">SUM(BK$15:BK30)/360</f>
        <v>1.3555555555555556</v>
      </c>
      <c r="BM30" s="74">
        <f t="shared" si="11"/>
        <v>25000000</v>
      </c>
      <c r="BN30" s="59">
        <f t="shared" si="34"/>
        <v>0.05</v>
      </c>
      <c r="BO30" s="57">
        <f>Volatilities_Resets!$E19*0.01</f>
        <v>4.7253200000000002E-2</v>
      </c>
      <c r="BP30" s="61">
        <f>IF(BN30=BQ$11,Volatilities_Resets!$AA19,IF(BN30&gt;=BP$11,IF(BN30&lt;BQ$11,(((Volatilities_Resets!$AA19-Volatilities_Resets!$Y19)/50)*((Calculator!BN30-Calculator!BP$11)*10000)+Volatilities_Resets!$Y19)),IF(BN30&gt;=BP$10,IF(BN30&lt;BQ$10,(((Volatilities_Resets!$Y19-Volatilities_Resets!$W19)/50)*((Calculator!BN30-Calculator!BP$10)*10000)+Volatilities_Resets!$W19)),IF(BN30&gt;=BP$9,IF(BN30&lt;BQ$9,(((Volatilities_Resets!$W19-Volatilities_Resets!$U19)/50)*((Calculator!BN30-Calculator!BP$9)*10000)+Volatilities_Resets!$U19)),IF(BN30&gt;=BP$8,IF(BN30&lt;BQ$8,(((Volatilities_Resets!$U19-Volatilities_Resets!$S19)/50)*((Calculator!BN30-Calculator!BP$8)*10000)+Volatilities_Resets!$S19)),IF(BN30&gt;=BP$7,IF(BN30&lt;BQ$7,(((Volatilities_Resets!$S19-Volatilities_Resets!$Q19)/50)*((Calculator!BN30-Calculator!BP$7)*10000)+Volatilities_Resets!$Q19)),IF(BN30&gt;=BP$6,IF(BN30&lt;BQ$6,(((Volatilities_Resets!$Q19-Volatilities_Resets!$O19)/50)*((Calculator!BN30-Calculator!BP$6)*10000)+Volatilities_Resets!$O19)),IF(BN30&gt;=BP$5,IF(BN30&lt;BQ$5,(((Volatilities_Resets!$O19-Volatilities_Resets!$M19)/50)*((Calculator!BN30-Calculator!BP$5)*10000)+Volatilities_Resets!$M19)),IF(BN30&gt;=BP$4,IF(BN30&lt;BQ$4,(((Volatilities_Resets!$M19-Volatilities_Resets!$K19)/50)*((Calculator!BN30-Calculator!BP$4)*10000)+Volatilities_Resets!$K19)),IF(BN30&gt;=BP$3,IF(BN30&lt;BQ$3,(((Volatilities_Resets!$K19-Volatilities_Resets!$I19)/50)*((Calculator!BN30-Calculator!BP$3)*10000)+Volatilities_Resets!$I19)),IF(BN30&gt;=BP$2,IF(BN30&lt;BQ$2,(((Volatilities_Resets!$I19-Volatilities_Resets!$G19)/50)*((Calculator!BN30-Calculator!BP$2)*10000)+Volatilities_Resets!$G19)),"Well, something broke...")))))))))))/10000</f>
        <v>1.3962E-2</v>
      </c>
      <c r="BQ30" s="63">
        <f t="shared" ca="1" si="35"/>
        <v>10443.907817658959</v>
      </c>
      <c r="BR30" s="63">
        <f t="shared" ca="1" si="36"/>
        <v>4.2143246641779318E-4</v>
      </c>
      <c r="BS30" s="63">
        <f t="shared" ca="1" si="47"/>
        <v>158107.15084317033</v>
      </c>
      <c r="BV30" s="63">
        <f t="shared" ca="1" si="37"/>
        <v>85.675250102862904</v>
      </c>
      <c r="BW30" s="63">
        <f ca="1">SUM($BV$15:BV30)</f>
        <v>898.12622293629795</v>
      </c>
      <c r="BY30" s="52">
        <f ca="1">EXP(-AVERAGE(BO$15:BO30)*BL30)</f>
        <v>0.9322270702268648</v>
      </c>
      <c r="CA30" s="52">
        <f t="shared" ca="1" si="38"/>
        <v>16</v>
      </c>
      <c r="CB30" s="71">
        <f t="shared" ca="1" si="39"/>
        <v>45648</v>
      </c>
      <c r="CC30" s="71">
        <f t="shared" ca="1" si="12"/>
        <v>45679</v>
      </c>
      <c r="CD30" s="72">
        <f t="shared" ca="1" si="13"/>
        <v>31</v>
      </c>
      <c r="CE30" s="73">
        <f ca="1">SUM(CD$15:CD30)/360</f>
        <v>1.3555555555555556</v>
      </c>
      <c r="CF30" s="74">
        <f t="shared" si="14"/>
        <v>25000000</v>
      </c>
      <c r="CG30" s="59">
        <f t="shared" si="40"/>
        <v>0.06</v>
      </c>
      <c r="CH30" s="57">
        <f>Volatilities_Resets!$E19*0.01</f>
        <v>4.7253200000000002E-2</v>
      </c>
      <c r="CI30" s="61">
        <f>IF(CG30=CJ$11,Volatilities_Resets!$AA19,IF(CG30&gt;=CI$11,IF(CG30&lt;CJ$11,(((Volatilities_Resets!$AA19-Volatilities_Resets!$Y19)/50)*((Calculator!CG30-Calculator!CI$11)*10000)+Volatilities_Resets!$Y19)),IF(CG30&gt;=CI$10,IF(CG30&lt;CJ$10,(((Volatilities_Resets!$Y19-Volatilities_Resets!$W19)/50)*((Calculator!CG30-Calculator!CI$10)*10000)+Volatilities_Resets!$W19)),IF(CG30&gt;=CI$9,IF(CG30&lt;CJ$9,(((Volatilities_Resets!$W19-Volatilities_Resets!$U19)/50)*((Calculator!CG30-Calculator!CI$9)*10000)+Volatilities_Resets!$U19)),IF(CG30&gt;=CI$8,IF(CG30&lt;CJ$8,(((Volatilities_Resets!$U19-Volatilities_Resets!$S19)/50)*((Calculator!CG30-Calculator!CI$8)*10000)+Volatilities_Resets!$S19)),IF(CG30&gt;=CI$7,IF(CG30&lt;CJ$7,(((Volatilities_Resets!$S19-Volatilities_Resets!$Q19)/50)*((Calculator!CG30-Calculator!CI$7)*10000)+Volatilities_Resets!$Q19)),IF(CG30&gt;=CI$6,IF(CG30&lt;CJ$6,(((Volatilities_Resets!$Q19-Volatilities_Resets!$O19)/50)*((Calculator!CG30-Calculator!CI$6)*10000)+Volatilities_Resets!$O19)),IF(CG30&gt;=CI$5,IF(CG30&lt;CJ$5,(((Volatilities_Resets!$O19-Volatilities_Resets!$M19)/50)*((Calculator!CG30-Calculator!CI$5)*10000)+Volatilities_Resets!$M19)),IF(CG30&gt;=CI$4,IF(CG30&lt;CJ$4,(((Volatilities_Resets!$M19-Volatilities_Resets!$K19)/50)*((Calculator!CG30-Calculator!CI$4)*10000)+Volatilities_Resets!$K19)),IF(CG30&gt;=CI$3,IF(CG30&lt;CJ$3,(((Volatilities_Resets!$K19-Volatilities_Resets!$I19)/50)*((Calculator!CG30-Calculator!CI$3)*10000)+Volatilities_Resets!$I19)),IF(CG30&gt;=CI$2,IF(CG30&lt;CJ$2,(((Volatilities_Resets!$I19-Volatilities_Resets!$G19)/50)*((Calculator!CG30-Calculator!CI$2)*10000)+Volatilities_Resets!$G19)),"Well, something broke...")))))))))))/10000</f>
        <v>1.3403E-2</v>
      </c>
      <c r="CJ30" s="63">
        <f t="shared" ca="1" si="41"/>
        <v>3654.0520604989701</v>
      </c>
      <c r="CK30" s="63">
        <f t="shared" ca="1" si="42"/>
        <v>1.4883961102113376E-4</v>
      </c>
      <c r="CL30" s="63">
        <f t="shared" ca="1" si="48"/>
        <v>21385.25632410005</v>
      </c>
      <c r="CO30" s="63">
        <f t="shared" ca="1" si="43"/>
        <v>62.401616083049191</v>
      </c>
      <c r="CP30" s="63">
        <f ca="1">SUM($CO$15:CO30)</f>
        <v>550.16973223544096</v>
      </c>
      <c r="CR30" s="52">
        <f ca="1">EXP(-AVERAGE(CH$15:CH30)*CE30)</f>
        <v>0.9322270702268648</v>
      </c>
      <c r="CT30"/>
      <c r="CU30"/>
      <c r="CV30"/>
      <c r="CW30"/>
      <c r="CX30"/>
      <c r="CY30"/>
      <c r="CZ30"/>
      <c r="DA30"/>
      <c r="DB30"/>
      <c r="DC30"/>
      <c r="DD30"/>
      <c r="DE30"/>
      <c r="DF30"/>
      <c r="DG30"/>
      <c r="DH30"/>
      <c r="DI30"/>
      <c r="DJ30"/>
      <c r="DK30"/>
      <c r="DL30"/>
    </row>
    <row r="31" spans="2:116" ht="15.75" customHeight="1" x14ac:dyDescent="0.2">
      <c r="B31" s="52">
        <v>2</v>
      </c>
      <c r="C31" s="52">
        <f t="shared" ca="1" si="15"/>
        <v>17</v>
      </c>
      <c r="D31" s="71">
        <f t="shared" ca="1" si="16"/>
        <v>45679</v>
      </c>
      <c r="E31" s="71">
        <f t="shared" ca="1" si="0"/>
        <v>45710</v>
      </c>
      <c r="F31" s="72">
        <f t="shared" ca="1" si="1"/>
        <v>31</v>
      </c>
      <c r="G31" s="73">
        <f ca="1">SUM($F$15:F31)/360</f>
        <v>1.4416666666666667</v>
      </c>
      <c r="H31" s="74">
        <f t="shared" si="2"/>
        <v>25000000</v>
      </c>
      <c r="I31" s="59">
        <f>IF('Cap Pricer'!$E$22=DataValidation!$C$2,'Cap Pricer'!$E$23,IF('Cap Pricer'!$E$22=DataValidation!$C$3,VLOOKUP($B31,'Cap Pricer'!$C$25:$E$31,3),""))</f>
        <v>0.02</v>
      </c>
      <c r="J31" s="57">
        <f>Volatilities_Resets!$E20*0.01</f>
        <v>4.7250100000000003E-2</v>
      </c>
      <c r="K31" s="61">
        <f>IF(I31=L$11,Volatilities_Resets!$AA20,IF(I31&gt;=K$11,IF(I31&lt;L$11,(((Volatilities_Resets!$AA20-Volatilities_Resets!$Y20)/50)*((Calculator!I31-Calculator!K$11)*10000)+Volatilities_Resets!$Y20)),IF(I31&gt;=K$10,IF(I31&lt;L$10,(((Volatilities_Resets!$Y20-Volatilities_Resets!$W20)/50)*((Calculator!I31-Calculator!K$10)*10000)+Volatilities_Resets!$W20)),IF(I31&gt;=K$9,IF(I31&lt;L$9,(((Volatilities_Resets!$W20-Volatilities_Resets!$U20)/50)*((Calculator!I31-Calculator!K$9)*10000)+Volatilities_Resets!$U20)),IF(I31&gt;=K$8,IF(I31&lt;L$8,(((Volatilities_Resets!$U20-Volatilities_Resets!$S20)/50)*((Calculator!I31-Calculator!K$8)*10000)+Volatilities_Resets!$S20)),IF(I31&gt;=K$7,IF(I31&lt;L$7,(((Volatilities_Resets!$S20-Volatilities_Resets!$Q20)/50)*((Calculator!I31-Calculator!K$7)*10000)+Volatilities_Resets!$Q20)),IF(I31&gt;=K$6,IF(I31&lt;L$6,(((Volatilities_Resets!$Q20-Volatilities_Resets!$O20)/50)*((Calculator!I31-Calculator!K$6)*10000)+Volatilities_Resets!$O20)),IF(I31&gt;=K$5,IF(I31&lt;L$5,(((Volatilities_Resets!$O20-Volatilities_Resets!$M20)/50)*((Calculator!I31-Calculator!K$5)*10000)+Volatilities_Resets!$M20)),IF(I31&gt;=K$4,IF(I31&lt;L$4,(((Volatilities_Resets!$M20-Volatilities_Resets!$K20)/50)*((Calculator!I31-Calculator!K$4)*10000)+Volatilities_Resets!$K20)),IF(I31&gt;=K$3,IF(I31&lt;L$3,(((Volatilities_Resets!$K20-Volatilities_Resets!$I20)/50)*((Calculator!I31-Calculator!K$3)*10000)+Volatilities_Resets!$I20)),IF(I31&gt;=K$2,IF(I31&lt;L$2,(((Volatilities_Resets!$I20-Volatilities_Resets!$G20)/50)*((Calculator!I31-Calculator!K$2)*10000)+Volatilities_Resets!$G20)),"Well, something broke...")))))))))))/10000</f>
        <v>2.1396000000000002E-2</v>
      </c>
      <c r="L31" s="47">
        <f t="shared" ca="1" si="17"/>
        <v>58270.993183833605</v>
      </c>
      <c r="M31" s="63">
        <f t="shared" ca="1" si="18"/>
        <v>2.3330273381096294E-3</v>
      </c>
      <c r="N31" s="63">
        <f t="shared" ca="1" si="44"/>
        <v>1113408.8167146796</v>
      </c>
      <c r="Q31" s="63">
        <f t="shared" ca="1" si="19"/>
        <v>50.776429933768632</v>
      </c>
      <c r="R31" s="63">
        <f ca="1">SUM($Q$15:Q31)</f>
        <v>340.74738179053378</v>
      </c>
      <c r="T31" s="52">
        <f ca="1">EXP(-AVERAGE(J$15:J31)*G31)</f>
        <v>0.92843628214722451</v>
      </c>
      <c r="U31" s="57"/>
      <c r="V31" s="52">
        <f t="shared" ca="1" si="20"/>
        <v>17</v>
      </c>
      <c r="W31" s="71">
        <f t="shared" ca="1" si="21"/>
        <v>45679</v>
      </c>
      <c r="X31" s="71">
        <f t="shared" ca="1" si="3"/>
        <v>45710</v>
      </c>
      <c r="Y31" s="72">
        <f t="shared" ca="1" si="4"/>
        <v>31</v>
      </c>
      <c r="Z31" s="73">
        <f ca="1">SUM(Y$15:Y31)/360</f>
        <v>1.4416666666666667</v>
      </c>
      <c r="AA31" s="74">
        <f t="shared" si="22"/>
        <v>25000000</v>
      </c>
      <c r="AB31" s="59">
        <f t="shared" si="23"/>
        <v>0.03</v>
      </c>
      <c r="AC31" s="57">
        <f>Volatilities_Resets!$E20*0.01</f>
        <v>4.7250100000000003E-2</v>
      </c>
      <c r="AD31" s="61">
        <f>IF(AB31=AE$11,Volatilities_Resets!$AA20,IF(AB31&gt;=AD$11,IF(AB31&lt;AE$11,(((Volatilities_Resets!$AA20-Volatilities_Resets!$Y20)/50)*((Calculator!AB31-Calculator!AD$11)*10000)+Volatilities_Resets!$Y20)),IF(AB31&gt;=AD$10,IF(AB31&lt;AE$10,(((Volatilities_Resets!$Y20-Volatilities_Resets!$W20)/50)*((Calculator!AB31-Calculator!AD$10)*10000)+Volatilities_Resets!$W20)),IF(AB31&gt;=AD$9,IF(AB31&lt;AE$9,(((Volatilities_Resets!$W20-Volatilities_Resets!$U20)/50)*((Calculator!AB31-Calculator!AD$9)*10000)+Volatilities_Resets!$U20)),IF(AB31&gt;=AD$8,IF(AB31&lt;AE$8,(((Volatilities_Resets!$U20-Volatilities_Resets!$S20)/50)*((Calculator!AB31-Calculator!AD$8)*10000)+Volatilities_Resets!$S20)),IF(AB31&gt;=AD$7,IF(AB31&lt;AE$7,(((Volatilities_Resets!$S20-Volatilities_Resets!$Q20)/50)*((Calculator!AB31-Calculator!AD$7)*10000)+Volatilities_Resets!$Q20)),IF(AB31&gt;=AD$6,IF(AB31&lt;AE$6,(((Volatilities_Resets!$Q20-Volatilities_Resets!$O20)/50)*((Calculator!AB31-Calculator!AD$6)*10000)+Volatilities_Resets!$O20)),IF(AB31&gt;=AD$5,IF(AB31&lt;AE$5,(((Volatilities_Resets!$O20-Volatilities_Resets!$M20)/50)*((Calculator!AB31-Calculator!AD$5)*10000)+Volatilities_Resets!$M20)),IF(AB31&gt;=AD$4,IF(AB31&lt;AE$4,(((Volatilities_Resets!$M20-Volatilities_Resets!$K20)/50)*((Calculator!AB31-Calculator!AD$4)*10000)+Volatilities_Resets!$K20)),IF(AB31&gt;=AD$3,IF(AB31&lt;AE$3,(((Volatilities_Resets!$K20-Volatilities_Resets!$I20)/50)*((Calculator!AB31-Calculator!AD$3)*10000)+Volatilities_Resets!$I20)),IF(AB31&gt;=AD$2,IF(AB31&lt;AE$2,(((Volatilities_Resets!$I20-Volatilities_Resets!$G20)/50)*((Calculator!AB31-Calculator!AD$2)*10000)+Volatilities_Resets!$G20)),"Well, something broke...")))))))))))/10000</f>
        <v>1.8964999999999999E-2</v>
      </c>
      <c r="AE31" s="63">
        <f t="shared" ca="1" si="24"/>
        <v>40370.487011682526</v>
      </c>
      <c r="AF31" s="63">
        <f t="shared" ca="1" si="25"/>
        <v>1.6176981614264652E-3</v>
      </c>
      <c r="AG31" s="63">
        <f t="shared" ca="1" si="45"/>
        <v>780397.38793843368</v>
      </c>
      <c r="AJ31" s="63">
        <f t="shared" ca="1" si="26"/>
        <v>66.81679618035696</v>
      </c>
      <c r="AK31" s="63">
        <f ca="1">SUM($AJ$15:AJ31)</f>
        <v>490.30888763753887</v>
      </c>
      <c r="AM31" s="52">
        <f ca="1">EXP(-AVERAGE(AC$15:AC31)*Z31)</f>
        <v>0.92843628214722451</v>
      </c>
      <c r="AO31" s="52">
        <f t="shared" ca="1" si="27"/>
        <v>17</v>
      </c>
      <c r="AP31" s="71">
        <f t="shared" ca="1" si="28"/>
        <v>45679</v>
      </c>
      <c r="AQ31" s="71">
        <f t="shared" ca="1" si="5"/>
        <v>45710</v>
      </c>
      <c r="AR31" s="72">
        <f t="shared" ca="1" si="6"/>
        <v>31</v>
      </c>
      <c r="AS31" s="73">
        <f ca="1">SUM(AR$15:AR31)/360</f>
        <v>1.4416666666666667</v>
      </c>
      <c r="AT31" s="74">
        <f t="shared" si="7"/>
        <v>25000000</v>
      </c>
      <c r="AU31" s="59">
        <f t="shared" si="29"/>
        <v>0.04</v>
      </c>
      <c r="AV31" s="57">
        <f>Volatilities_Resets!$E20*0.01</f>
        <v>4.7250100000000003E-2</v>
      </c>
      <c r="AW31" s="61">
        <f>IF(AU31=AX$11,Volatilities_Resets!$AA20,IF(AU31&gt;=AW$11,IF(AU31&lt;AX$11,(((Volatilities_Resets!$AA20-Volatilities_Resets!$Y20)/50)*((Calculator!AU31-Calculator!AW$11)*10000)+Volatilities_Resets!$Y20)),IF(AU31&gt;=AW$10,IF(AU31&lt;AX$10,(((Volatilities_Resets!$Y20-Volatilities_Resets!$W20)/50)*((Calculator!AU31-Calculator!AW$10)*10000)+Volatilities_Resets!$W20)),IF(AU31&gt;=AW$9,IF(AU31&lt;AX$9,(((Volatilities_Resets!$W20-Volatilities_Resets!$U20)/50)*((Calculator!AU31-Calculator!AW$9)*10000)+Volatilities_Resets!$U20)),IF(AU31&gt;=AW$8,IF(AU31&lt;AX$8,(((Volatilities_Resets!$U20-Volatilities_Resets!$S20)/50)*((Calculator!AU31-Calculator!AW$8)*10000)+Volatilities_Resets!$S20)),IF(AU31&gt;=AW$7,IF(AU31&lt;AX$7,(((Volatilities_Resets!$S20-Volatilities_Resets!$Q20)/50)*((Calculator!AU31-Calculator!AW$7)*10000)+Volatilities_Resets!$Q20)),IF(AU31&gt;=AW$6,IF(AU31&lt;AX$6,(((Volatilities_Resets!$Q20-Volatilities_Resets!$O20)/50)*((Calculator!AU31-Calculator!AW$6)*10000)+Volatilities_Resets!$O20)),IF(AU31&gt;=AW$5,IF(AU31&lt;AX$5,(((Volatilities_Resets!$O20-Volatilities_Resets!$M20)/50)*((Calculator!AU31-Calculator!AW$5)*10000)+Volatilities_Resets!$M20)),IF(AU31&gt;=AW$4,IF(AU31&lt;AX$4,(((Volatilities_Resets!$M20-Volatilities_Resets!$K20)/50)*((Calculator!AU31-Calculator!AW$4)*10000)+Volatilities_Resets!$K20)),IF(AU31&gt;=AW$3,IF(AU31&lt;AX$3,(((Volatilities_Resets!$K20-Volatilities_Resets!$I20)/50)*((Calculator!AU31-Calculator!AW$3)*10000)+Volatilities_Resets!$I20)),IF(AU31&gt;=AW$2,IF(AU31&lt;AX$2,(((Volatilities_Resets!$I20-Volatilities_Resets!$G20)/50)*((Calculator!AU31-Calculator!AW$2)*10000)+Volatilities_Resets!$G20)),"Well, something broke...")))))))))))/10000</f>
        <v>1.6017E-2</v>
      </c>
      <c r="AX31" s="63">
        <f t="shared" ca="1" si="30"/>
        <v>23657.11048223238</v>
      </c>
      <c r="AY31" s="63">
        <f t="shared" ca="1" si="31"/>
        <v>9.4985290470092274E-4</v>
      </c>
      <c r="AZ31" s="63">
        <f t="shared" ca="1" si="46"/>
        <v>456091.61109445442</v>
      </c>
      <c r="BC31" s="63">
        <f t="shared" ca="1" si="8"/>
        <v>82.827783211702894</v>
      </c>
      <c r="BD31" s="63">
        <f ca="1">SUM($BC$15:BC31)</f>
        <v>686.84896550745418</v>
      </c>
      <c r="BF31" s="52">
        <f ca="1">EXP(-AVERAGE(AV$15:AV31)*AS31)</f>
        <v>0.92843628214722451</v>
      </c>
      <c r="BH31" s="52">
        <f t="shared" ca="1" si="32"/>
        <v>17</v>
      </c>
      <c r="BI31" s="71">
        <f t="shared" ca="1" si="33"/>
        <v>45679</v>
      </c>
      <c r="BJ31" s="71">
        <f t="shared" ca="1" si="9"/>
        <v>45710</v>
      </c>
      <c r="BK31" s="72">
        <f t="shared" ca="1" si="10"/>
        <v>31</v>
      </c>
      <c r="BL31" s="73">
        <f ca="1">SUM(BK$15:BK31)/360</f>
        <v>1.4416666666666667</v>
      </c>
      <c r="BM31" s="74">
        <f t="shared" si="11"/>
        <v>25000000</v>
      </c>
      <c r="BN31" s="59">
        <f t="shared" si="34"/>
        <v>0.05</v>
      </c>
      <c r="BO31" s="57">
        <f>Volatilities_Resets!$E20*0.01</f>
        <v>4.7250100000000003E-2</v>
      </c>
      <c r="BP31" s="61">
        <f>IF(BN31=BQ$11,Volatilities_Resets!$AA20,IF(BN31&gt;=BP$11,IF(BN31&lt;BQ$11,(((Volatilities_Resets!$AA20-Volatilities_Resets!$Y20)/50)*((Calculator!BN31-Calculator!BP$11)*10000)+Volatilities_Resets!$Y20)),IF(BN31&gt;=BP$10,IF(BN31&lt;BQ$10,(((Volatilities_Resets!$Y20-Volatilities_Resets!$W20)/50)*((Calculator!BN31-Calculator!BP$10)*10000)+Volatilities_Resets!$W20)),IF(BN31&gt;=BP$9,IF(BN31&lt;BQ$9,(((Volatilities_Resets!$W20-Volatilities_Resets!$U20)/50)*((Calculator!BN31-Calculator!BP$9)*10000)+Volatilities_Resets!$U20)),IF(BN31&gt;=BP$8,IF(BN31&lt;BQ$8,(((Volatilities_Resets!$U20-Volatilities_Resets!$S20)/50)*((Calculator!BN31-Calculator!BP$8)*10000)+Volatilities_Resets!$S20)),IF(BN31&gt;=BP$7,IF(BN31&lt;BQ$7,(((Volatilities_Resets!$S20-Volatilities_Resets!$Q20)/50)*((Calculator!BN31-Calculator!BP$7)*10000)+Volatilities_Resets!$Q20)),IF(BN31&gt;=BP$6,IF(BN31&lt;BQ$6,(((Volatilities_Resets!$Q20-Volatilities_Resets!$O20)/50)*((Calculator!BN31-Calculator!BP$6)*10000)+Volatilities_Resets!$O20)),IF(BN31&gt;=BP$5,IF(BN31&lt;BQ$5,(((Volatilities_Resets!$O20-Volatilities_Resets!$M20)/50)*((Calculator!BN31-Calculator!BP$5)*10000)+Volatilities_Resets!$M20)),IF(BN31&gt;=BP$4,IF(BN31&lt;BQ$4,(((Volatilities_Resets!$M20-Volatilities_Resets!$K20)/50)*((Calculator!BN31-Calculator!BP$4)*10000)+Volatilities_Resets!$K20)),IF(BN31&gt;=BP$3,IF(BN31&lt;BQ$3,(((Volatilities_Resets!$K20-Volatilities_Resets!$I20)/50)*((Calculator!BN31-Calculator!BP$3)*10000)+Volatilities_Resets!$I20)),IF(BN31&gt;=BP$2,IF(BN31&lt;BQ$2,(((Volatilities_Resets!$I20-Volatilities_Resets!$G20)/50)*((Calculator!BN31-Calculator!BP$2)*10000)+Volatilities_Resets!$G20)),"Well, something broke...")))))))))))/10000</f>
        <v>1.3978999999999998E-2</v>
      </c>
      <c r="BQ31" s="63">
        <f t="shared" ca="1" si="35"/>
        <v>10814.59037635206</v>
      </c>
      <c r="BR31" s="63">
        <f t="shared" ca="1" si="36"/>
        <v>4.3636252463491015E-4</v>
      </c>
      <c r="BS31" s="63">
        <f t="shared" ca="1" si="47"/>
        <v>168921.74121952237</v>
      </c>
      <c r="BV31" s="63">
        <f t="shared" ca="1" si="37"/>
        <v>87.711919044855378</v>
      </c>
      <c r="BW31" s="63">
        <f ca="1">SUM($BV$15:BV31)</f>
        <v>985.83814198115329</v>
      </c>
      <c r="BY31" s="52">
        <f ca="1">EXP(-AVERAGE(BO$15:BO31)*BL31)</f>
        <v>0.92843628214722451</v>
      </c>
      <c r="CA31" s="52">
        <f t="shared" ca="1" si="38"/>
        <v>17</v>
      </c>
      <c r="CB31" s="71">
        <f t="shared" ca="1" si="39"/>
        <v>45679</v>
      </c>
      <c r="CC31" s="71">
        <f t="shared" ca="1" si="12"/>
        <v>45710</v>
      </c>
      <c r="CD31" s="72">
        <f t="shared" ca="1" si="13"/>
        <v>31</v>
      </c>
      <c r="CE31" s="73">
        <f ca="1">SUM(CD$15:CD31)/360</f>
        <v>1.4416666666666667</v>
      </c>
      <c r="CF31" s="74">
        <f t="shared" si="14"/>
        <v>25000000</v>
      </c>
      <c r="CG31" s="59">
        <f t="shared" si="40"/>
        <v>0.06</v>
      </c>
      <c r="CH31" s="57">
        <f>Volatilities_Resets!$E20*0.01</f>
        <v>4.7250100000000003E-2</v>
      </c>
      <c r="CI31" s="61">
        <f>IF(CG31=CJ$11,Volatilities_Resets!$AA20,IF(CG31&gt;=CI$11,IF(CG31&lt;CJ$11,(((Volatilities_Resets!$AA20-Volatilities_Resets!$Y20)/50)*((Calculator!CG31-Calculator!CI$11)*10000)+Volatilities_Resets!$Y20)),IF(CG31&gt;=CI$10,IF(CG31&lt;CJ$10,(((Volatilities_Resets!$Y20-Volatilities_Resets!$W20)/50)*((Calculator!CG31-Calculator!CI$10)*10000)+Volatilities_Resets!$W20)),IF(CG31&gt;=CI$9,IF(CG31&lt;CJ$9,(((Volatilities_Resets!$W20-Volatilities_Resets!$U20)/50)*((Calculator!CG31-Calculator!CI$9)*10000)+Volatilities_Resets!$U20)),IF(CG31&gt;=CI$8,IF(CG31&lt;CJ$8,(((Volatilities_Resets!$U20-Volatilities_Resets!$S20)/50)*((Calculator!CG31-Calculator!CI$8)*10000)+Volatilities_Resets!$S20)),IF(CG31&gt;=CI$7,IF(CG31&lt;CJ$7,(((Volatilities_Resets!$S20-Volatilities_Resets!$Q20)/50)*((Calculator!CG31-Calculator!CI$7)*10000)+Volatilities_Resets!$Q20)),IF(CG31&gt;=CI$6,IF(CG31&lt;CJ$6,(((Volatilities_Resets!$Q20-Volatilities_Resets!$O20)/50)*((Calculator!CG31-Calculator!CI$6)*10000)+Volatilities_Resets!$O20)),IF(CG31&gt;=CI$5,IF(CG31&lt;CJ$5,(((Volatilities_Resets!$O20-Volatilities_Resets!$M20)/50)*((Calculator!CG31-Calculator!CI$5)*10000)+Volatilities_Resets!$M20)),IF(CG31&gt;=CI$4,IF(CG31&lt;CJ$4,(((Volatilities_Resets!$M20-Volatilities_Resets!$K20)/50)*((Calculator!CG31-Calculator!CI$4)*10000)+Volatilities_Resets!$K20)),IF(CG31&gt;=CI$3,IF(CG31&lt;CJ$3,(((Volatilities_Resets!$K20-Volatilities_Resets!$I20)/50)*((Calculator!CG31-Calculator!CI$3)*10000)+Volatilities_Resets!$I20)),IF(CG31&gt;=CI$2,IF(CG31&lt;CJ$2,(((Volatilities_Resets!$I20-Volatilities_Resets!$G20)/50)*((Calculator!CG31-Calculator!CI$2)*10000)+Volatilities_Resets!$G20)),"Well, something broke...")))))))))))/10000</f>
        <v>1.3309E-2</v>
      </c>
      <c r="CJ31" s="63">
        <f t="shared" ca="1" si="41"/>
        <v>3853.8420255598571</v>
      </c>
      <c r="CK31" s="63">
        <f t="shared" ca="1" si="42"/>
        <v>1.5694591595890347E-4</v>
      </c>
      <c r="CL31" s="63">
        <f t="shared" ca="1" si="48"/>
        <v>25239.098349659907</v>
      </c>
      <c r="CO31" s="63">
        <f t="shared" ca="1" si="43"/>
        <v>64.810305583354392</v>
      </c>
      <c r="CP31" s="63">
        <f ca="1">SUM($CO$15:CO31)</f>
        <v>614.98003781879538</v>
      </c>
      <c r="CR31" s="52">
        <f ca="1">EXP(-AVERAGE(CH$15:CH31)*CE31)</f>
        <v>0.92843628214722451</v>
      </c>
      <c r="CT31"/>
      <c r="CU31"/>
      <c r="CV31"/>
      <c r="CW31"/>
      <c r="CX31"/>
      <c r="CY31"/>
      <c r="CZ31"/>
      <c r="DA31"/>
      <c r="DB31"/>
      <c r="DC31"/>
      <c r="DD31"/>
      <c r="DE31"/>
      <c r="DF31"/>
      <c r="DG31"/>
      <c r="DH31"/>
      <c r="DI31"/>
      <c r="DJ31"/>
      <c r="DK31"/>
      <c r="DL31"/>
    </row>
    <row r="32" spans="2:116" ht="15.75" customHeight="1" x14ac:dyDescent="0.2">
      <c r="B32" s="52">
        <v>2</v>
      </c>
      <c r="C32" s="52">
        <f t="shared" ca="1" si="15"/>
        <v>18</v>
      </c>
      <c r="D32" s="71">
        <f t="shared" ca="1" si="16"/>
        <v>45710</v>
      </c>
      <c r="E32" s="71">
        <f t="shared" ca="1" si="0"/>
        <v>45738</v>
      </c>
      <c r="F32" s="72">
        <f t="shared" ca="1" si="1"/>
        <v>28</v>
      </c>
      <c r="G32" s="73">
        <f ca="1">SUM($F$15:F32)/360</f>
        <v>1.5194444444444444</v>
      </c>
      <c r="H32" s="74">
        <f t="shared" si="2"/>
        <v>25000000</v>
      </c>
      <c r="I32" s="59">
        <f>IF('Cap Pricer'!$E$22=DataValidation!$C$2,'Cap Pricer'!$E$23,IF('Cap Pricer'!$E$22=DataValidation!$C$3,VLOOKUP($B32,'Cap Pricer'!$C$25:$E$31,3),""))</f>
        <v>0.02</v>
      </c>
      <c r="J32" s="57">
        <f>Volatilities_Resets!$E21*0.01</f>
        <v>4.7240799999999999E-2</v>
      </c>
      <c r="K32" s="61">
        <f>IF(I32=L$11,Volatilities_Resets!$AA21,IF(I32&gt;=K$11,IF(I32&lt;L$11,(((Volatilities_Resets!$AA21-Volatilities_Resets!$Y21)/50)*((Calculator!I32-Calculator!K$11)*10000)+Volatilities_Resets!$Y21)),IF(I32&gt;=K$10,IF(I32&lt;L$10,(((Volatilities_Resets!$Y21-Volatilities_Resets!$W21)/50)*((Calculator!I32-Calculator!K$10)*10000)+Volatilities_Resets!$W21)),IF(I32&gt;=K$9,IF(I32&lt;L$9,(((Volatilities_Resets!$W21-Volatilities_Resets!$U21)/50)*((Calculator!I32-Calculator!K$9)*10000)+Volatilities_Resets!$U21)),IF(I32&gt;=K$8,IF(I32&lt;L$8,(((Volatilities_Resets!$U21-Volatilities_Resets!$S21)/50)*((Calculator!I32-Calculator!K$8)*10000)+Volatilities_Resets!$S21)),IF(I32&gt;=K$7,IF(I32&lt;L$7,(((Volatilities_Resets!$S21-Volatilities_Resets!$Q21)/50)*((Calculator!I32-Calculator!K$7)*10000)+Volatilities_Resets!$Q21)),IF(I32&gt;=K$6,IF(I32&lt;L$6,(((Volatilities_Resets!$Q21-Volatilities_Resets!$O21)/50)*((Calculator!I32-Calculator!K$6)*10000)+Volatilities_Resets!$O21)),IF(I32&gt;=K$5,IF(I32&lt;L$5,(((Volatilities_Resets!$O21-Volatilities_Resets!$M21)/50)*((Calculator!I32-Calculator!K$5)*10000)+Volatilities_Resets!$M21)),IF(I32&gt;=K$4,IF(I32&lt;L$4,(((Volatilities_Resets!$M21-Volatilities_Resets!$K21)/50)*((Calculator!I32-Calculator!K$4)*10000)+Volatilities_Resets!$K21)),IF(I32&gt;=K$3,IF(I32&lt;L$3,(((Volatilities_Resets!$K21-Volatilities_Resets!$I21)/50)*((Calculator!I32-Calculator!K$3)*10000)+Volatilities_Resets!$I21)),IF(I32&gt;=K$2,IF(I32&lt;L$2,(((Volatilities_Resets!$I21-Volatilities_Resets!$G21)/50)*((Calculator!I32-Calculator!K$2)*10000)+Volatilities_Resets!$G21)),"Well, something broke...")))))))))))/10000</f>
        <v>2.1582E-2</v>
      </c>
      <c r="L32" s="47">
        <f t="shared" ca="1" si="17"/>
        <v>52806.786856686202</v>
      </c>
      <c r="M32" s="63">
        <f t="shared" ca="1" si="18"/>
        <v>2.1143711232533128E-3</v>
      </c>
      <c r="N32" s="63">
        <f t="shared" ca="1" si="44"/>
        <v>1166215.6035713658</v>
      </c>
      <c r="Q32" s="63">
        <f t="shared" ca="1" si="19"/>
        <v>48.557394748555403</v>
      </c>
      <c r="R32" s="63">
        <f ca="1">SUM($Q$15:Q32)</f>
        <v>389.30477653908918</v>
      </c>
      <c r="T32" s="52">
        <f ca="1">EXP(-AVERAGE(J$15:J32)*G32)</f>
        <v>0.92505738007546767</v>
      </c>
      <c r="U32" s="57"/>
      <c r="V32" s="52">
        <f t="shared" ca="1" si="20"/>
        <v>18</v>
      </c>
      <c r="W32" s="71">
        <f t="shared" ca="1" si="21"/>
        <v>45710</v>
      </c>
      <c r="X32" s="71">
        <f t="shared" ca="1" si="3"/>
        <v>45738</v>
      </c>
      <c r="Y32" s="72">
        <f t="shared" ca="1" si="4"/>
        <v>28</v>
      </c>
      <c r="Z32" s="73">
        <f ca="1">SUM(Y$15:Y32)/360</f>
        <v>1.5194444444444444</v>
      </c>
      <c r="AA32" s="74">
        <f t="shared" si="22"/>
        <v>25000000</v>
      </c>
      <c r="AB32" s="59">
        <f t="shared" si="23"/>
        <v>0.03</v>
      </c>
      <c r="AC32" s="57">
        <f>Volatilities_Resets!$E21*0.01</f>
        <v>4.7240799999999999E-2</v>
      </c>
      <c r="AD32" s="61">
        <f>IF(AB32=AE$11,Volatilities_Resets!$AA21,IF(AB32&gt;=AD$11,IF(AB32&lt;AE$11,(((Volatilities_Resets!$AA21-Volatilities_Resets!$Y21)/50)*((Calculator!AB32-Calculator!AD$11)*10000)+Volatilities_Resets!$Y21)),IF(AB32&gt;=AD$10,IF(AB32&lt;AE$10,(((Volatilities_Resets!$Y21-Volatilities_Resets!$W21)/50)*((Calculator!AB32-Calculator!AD$10)*10000)+Volatilities_Resets!$W21)),IF(AB32&gt;=AD$9,IF(AB32&lt;AE$9,(((Volatilities_Resets!$W21-Volatilities_Resets!$U21)/50)*((Calculator!AB32-Calculator!AD$9)*10000)+Volatilities_Resets!$U21)),IF(AB32&gt;=AD$8,IF(AB32&lt;AE$8,(((Volatilities_Resets!$U21-Volatilities_Resets!$S21)/50)*((Calculator!AB32-Calculator!AD$8)*10000)+Volatilities_Resets!$S21)),IF(AB32&gt;=AD$7,IF(AB32&lt;AE$7,(((Volatilities_Resets!$S21-Volatilities_Resets!$Q21)/50)*((Calculator!AB32-Calculator!AD$7)*10000)+Volatilities_Resets!$Q21)),IF(AB32&gt;=AD$6,IF(AB32&lt;AE$6,(((Volatilities_Resets!$Q21-Volatilities_Resets!$O21)/50)*((Calculator!AB32-Calculator!AD$6)*10000)+Volatilities_Resets!$O21)),IF(AB32&gt;=AD$5,IF(AB32&lt;AE$5,(((Volatilities_Resets!$O21-Volatilities_Resets!$M21)/50)*((Calculator!AB32-Calculator!AD$5)*10000)+Volatilities_Resets!$M21)),IF(AB32&gt;=AD$4,IF(AB32&lt;AE$4,(((Volatilities_Resets!$M21-Volatilities_Resets!$K21)/50)*((Calculator!AB32-Calculator!AD$4)*10000)+Volatilities_Resets!$K21)),IF(AB32&gt;=AD$3,IF(AB32&lt;AE$3,(((Volatilities_Resets!$K21-Volatilities_Resets!$I21)/50)*((Calculator!AB32-Calculator!AD$3)*10000)+Volatilities_Resets!$I21)),IF(AB32&gt;=AD$2,IF(AB32&lt;AE$2,(((Volatilities_Resets!$I21-Volatilities_Resets!$G21)/50)*((Calculator!AB32-Calculator!AD$2)*10000)+Volatilities_Resets!$G21)),"Well, something broke...")))))))))))/10000</f>
        <v>1.9136E-2</v>
      </c>
      <c r="AE32" s="63">
        <f t="shared" ca="1" si="24"/>
        <v>36762.534429179264</v>
      </c>
      <c r="AF32" s="63">
        <f t="shared" ca="1" si="25"/>
        <v>1.4732139004708848E-3</v>
      </c>
      <c r="AG32" s="63">
        <f t="shared" ca="1" si="45"/>
        <v>817159.92236761295</v>
      </c>
      <c r="AJ32" s="63">
        <f t="shared" ca="1" si="26"/>
        <v>62.730992518191542</v>
      </c>
      <c r="AK32" s="63">
        <f ca="1">SUM($AJ$15:AJ32)</f>
        <v>553.03988015573043</v>
      </c>
      <c r="AM32" s="52">
        <f ca="1">EXP(-AVERAGE(AC$15:AC32)*Z32)</f>
        <v>0.92505738007546767</v>
      </c>
      <c r="AO32" s="52">
        <f t="shared" ca="1" si="27"/>
        <v>18</v>
      </c>
      <c r="AP32" s="71">
        <f t="shared" ca="1" si="28"/>
        <v>45710</v>
      </c>
      <c r="AQ32" s="71">
        <f t="shared" ca="1" si="5"/>
        <v>45738</v>
      </c>
      <c r="AR32" s="72">
        <f t="shared" ca="1" si="6"/>
        <v>28</v>
      </c>
      <c r="AS32" s="73">
        <f ca="1">SUM(AR$15:AR32)/360</f>
        <v>1.5194444444444444</v>
      </c>
      <c r="AT32" s="74">
        <f t="shared" si="7"/>
        <v>25000000</v>
      </c>
      <c r="AU32" s="59">
        <f t="shared" si="29"/>
        <v>0.04</v>
      </c>
      <c r="AV32" s="57">
        <f>Volatilities_Resets!$E21*0.01</f>
        <v>4.7240799999999999E-2</v>
      </c>
      <c r="AW32" s="61">
        <f>IF(AU32=AX$11,Volatilities_Resets!$AA21,IF(AU32&gt;=AW$11,IF(AU32&lt;AX$11,(((Volatilities_Resets!$AA21-Volatilities_Resets!$Y21)/50)*((Calculator!AU32-Calculator!AW$11)*10000)+Volatilities_Resets!$Y21)),IF(AU32&gt;=AW$10,IF(AU32&lt;AX$10,(((Volatilities_Resets!$Y21-Volatilities_Resets!$W21)/50)*((Calculator!AU32-Calculator!AW$10)*10000)+Volatilities_Resets!$W21)),IF(AU32&gt;=AW$9,IF(AU32&lt;AX$9,(((Volatilities_Resets!$W21-Volatilities_Resets!$U21)/50)*((Calculator!AU32-Calculator!AW$9)*10000)+Volatilities_Resets!$U21)),IF(AU32&gt;=AW$8,IF(AU32&lt;AX$8,(((Volatilities_Resets!$U21-Volatilities_Resets!$S21)/50)*((Calculator!AU32-Calculator!AW$8)*10000)+Volatilities_Resets!$S21)),IF(AU32&gt;=AW$7,IF(AU32&lt;AX$7,(((Volatilities_Resets!$S21-Volatilities_Resets!$Q21)/50)*((Calculator!AU32-Calculator!AW$7)*10000)+Volatilities_Resets!$Q21)),IF(AU32&gt;=AW$6,IF(AU32&lt;AX$6,(((Volatilities_Resets!$Q21-Volatilities_Resets!$O21)/50)*((Calculator!AU32-Calculator!AW$6)*10000)+Volatilities_Resets!$O21)),IF(AU32&gt;=AW$5,IF(AU32&lt;AX$5,(((Volatilities_Resets!$O21-Volatilities_Resets!$M21)/50)*((Calculator!AU32-Calculator!AW$5)*10000)+Volatilities_Resets!$M21)),IF(AU32&gt;=AW$4,IF(AU32&lt;AX$4,(((Volatilities_Resets!$M21-Volatilities_Resets!$K21)/50)*((Calculator!AU32-Calculator!AW$4)*10000)+Volatilities_Resets!$K21)),IF(AU32&gt;=AW$3,IF(AU32&lt;AX$3,(((Volatilities_Resets!$K21-Volatilities_Resets!$I21)/50)*((Calculator!AU32-Calculator!AW$3)*10000)+Volatilities_Resets!$I21)),IF(AU32&gt;=AW$2,IF(AU32&lt;AX$2,(((Volatilities_Resets!$I21-Volatilities_Resets!$G21)/50)*((Calculator!AU32-Calculator!AW$2)*10000)+Volatilities_Resets!$G21)),"Well, something broke...")))))))))))/10000</f>
        <v>1.6142E-2</v>
      </c>
      <c r="AX32" s="63">
        <f t="shared" ca="1" si="30"/>
        <v>21725.422360538203</v>
      </c>
      <c r="AY32" s="63">
        <f t="shared" ca="1" si="31"/>
        <v>8.7232971395231169E-4</v>
      </c>
      <c r="AZ32" s="63">
        <f t="shared" ca="1" si="46"/>
        <v>477817.03345499263</v>
      </c>
      <c r="BC32" s="63">
        <f t="shared" ca="1" si="8"/>
        <v>76.613703895235872</v>
      </c>
      <c r="BD32" s="63">
        <f ca="1">SUM($BC$15:BC32)</f>
        <v>763.46266940269004</v>
      </c>
      <c r="BF32" s="52">
        <f ca="1">EXP(-AVERAGE(AV$15:AV32)*AS32)</f>
        <v>0.92505738007546767</v>
      </c>
      <c r="BH32" s="52">
        <f t="shared" ca="1" si="32"/>
        <v>18</v>
      </c>
      <c r="BI32" s="71">
        <f t="shared" ca="1" si="33"/>
        <v>45710</v>
      </c>
      <c r="BJ32" s="71">
        <f t="shared" ca="1" si="9"/>
        <v>45738</v>
      </c>
      <c r="BK32" s="72">
        <f t="shared" ca="1" si="10"/>
        <v>28</v>
      </c>
      <c r="BL32" s="73">
        <f ca="1">SUM(BK$15:BK32)/360</f>
        <v>1.5194444444444444</v>
      </c>
      <c r="BM32" s="74">
        <f t="shared" si="11"/>
        <v>25000000</v>
      </c>
      <c r="BN32" s="59">
        <f t="shared" si="34"/>
        <v>0.05</v>
      </c>
      <c r="BO32" s="57">
        <f>Volatilities_Resets!$E21*0.01</f>
        <v>4.7240799999999999E-2</v>
      </c>
      <c r="BP32" s="61">
        <f>IF(BN32=BQ$11,Volatilities_Resets!$AA21,IF(BN32&gt;=BP$11,IF(BN32&lt;BQ$11,(((Volatilities_Resets!$AA21-Volatilities_Resets!$Y21)/50)*((Calculator!BN32-Calculator!BP$11)*10000)+Volatilities_Resets!$Y21)),IF(BN32&gt;=BP$10,IF(BN32&lt;BQ$10,(((Volatilities_Resets!$Y21-Volatilities_Resets!$W21)/50)*((Calculator!BN32-Calculator!BP$10)*10000)+Volatilities_Resets!$W21)),IF(BN32&gt;=BP$9,IF(BN32&lt;BQ$9,(((Volatilities_Resets!$W21-Volatilities_Resets!$U21)/50)*((Calculator!BN32-Calculator!BP$9)*10000)+Volatilities_Resets!$U21)),IF(BN32&gt;=BP$8,IF(BN32&lt;BQ$8,(((Volatilities_Resets!$U21-Volatilities_Resets!$S21)/50)*((Calculator!BN32-Calculator!BP$8)*10000)+Volatilities_Resets!$S21)),IF(BN32&gt;=BP$7,IF(BN32&lt;BQ$7,(((Volatilities_Resets!$S21-Volatilities_Resets!$Q21)/50)*((Calculator!BN32-Calculator!BP$7)*10000)+Volatilities_Resets!$Q21)),IF(BN32&gt;=BP$6,IF(BN32&lt;BQ$6,(((Volatilities_Resets!$Q21-Volatilities_Resets!$O21)/50)*((Calculator!BN32-Calculator!BP$6)*10000)+Volatilities_Resets!$O21)),IF(BN32&gt;=BP$5,IF(BN32&lt;BQ$5,(((Volatilities_Resets!$O21-Volatilities_Resets!$M21)/50)*((Calculator!BN32-Calculator!BP$5)*10000)+Volatilities_Resets!$M21)),IF(BN32&gt;=BP$4,IF(BN32&lt;BQ$4,(((Volatilities_Resets!$M21-Volatilities_Resets!$K21)/50)*((Calculator!BN32-Calculator!BP$4)*10000)+Volatilities_Resets!$K21)),IF(BN32&gt;=BP$3,IF(BN32&lt;BQ$3,(((Volatilities_Resets!$K21-Volatilities_Resets!$I21)/50)*((Calculator!BN32-Calculator!BP$3)*10000)+Volatilities_Resets!$I21)),IF(BN32&gt;=BP$2,IF(BN32&lt;BQ$2,(((Volatilities_Resets!$I21-Volatilities_Resets!$G21)/50)*((Calculator!BN32-Calculator!BP$2)*10000)+Volatilities_Resets!$G21)),"Well, something broke...")))))))))))/10000</f>
        <v>1.4012999999999999E-2</v>
      </c>
      <c r="BQ32" s="63">
        <f t="shared" ca="1" si="35"/>
        <v>10071.321659467098</v>
      </c>
      <c r="BR32" s="63">
        <f t="shared" ca="1" si="36"/>
        <v>4.0634648205723509E-4</v>
      </c>
      <c r="BS32" s="63">
        <f t="shared" ca="1" si="47"/>
        <v>178993.06287898947</v>
      </c>
      <c r="BV32" s="63">
        <f t="shared" ca="1" si="37"/>
        <v>80.794874164778605</v>
      </c>
      <c r="BW32" s="63">
        <f ca="1">SUM($BV$15:BV32)</f>
        <v>1066.6330161459318</v>
      </c>
      <c r="BY32" s="52">
        <f ca="1">EXP(-AVERAGE(BO$15:BO32)*BL32)</f>
        <v>0.92505738007546767</v>
      </c>
      <c r="CA32" s="52">
        <f t="shared" ca="1" si="38"/>
        <v>18</v>
      </c>
      <c r="CB32" s="71">
        <f t="shared" ca="1" si="39"/>
        <v>45710</v>
      </c>
      <c r="CC32" s="71">
        <f t="shared" ca="1" si="12"/>
        <v>45738</v>
      </c>
      <c r="CD32" s="72">
        <f t="shared" ca="1" si="13"/>
        <v>28</v>
      </c>
      <c r="CE32" s="73">
        <f ca="1">SUM(CD$15:CD32)/360</f>
        <v>1.5194444444444444</v>
      </c>
      <c r="CF32" s="74">
        <f t="shared" si="14"/>
        <v>25000000</v>
      </c>
      <c r="CG32" s="59">
        <f t="shared" si="40"/>
        <v>0.06</v>
      </c>
      <c r="CH32" s="57">
        <f>Volatilities_Resets!$E21*0.01</f>
        <v>4.7240799999999999E-2</v>
      </c>
      <c r="CI32" s="61">
        <f>IF(CG32=CJ$11,Volatilities_Resets!$AA21,IF(CG32&gt;=CI$11,IF(CG32&lt;CJ$11,(((Volatilities_Resets!$AA21-Volatilities_Resets!$Y21)/50)*((Calculator!CG32-Calculator!CI$11)*10000)+Volatilities_Resets!$Y21)),IF(CG32&gt;=CI$10,IF(CG32&lt;CJ$10,(((Volatilities_Resets!$Y21-Volatilities_Resets!$W21)/50)*((Calculator!CG32-Calculator!CI$10)*10000)+Volatilities_Resets!$W21)),IF(CG32&gt;=CI$9,IF(CG32&lt;CJ$9,(((Volatilities_Resets!$W21-Volatilities_Resets!$U21)/50)*((Calculator!CG32-Calculator!CI$9)*10000)+Volatilities_Resets!$U21)),IF(CG32&gt;=CI$8,IF(CG32&lt;CJ$8,(((Volatilities_Resets!$U21-Volatilities_Resets!$S21)/50)*((Calculator!CG32-Calculator!CI$8)*10000)+Volatilities_Resets!$S21)),IF(CG32&gt;=CI$7,IF(CG32&lt;CJ$7,(((Volatilities_Resets!$S21-Volatilities_Resets!$Q21)/50)*((Calculator!CG32-Calculator!CI$7)*10000)+Volatilities_Resets!$Q21)),IF(CG32&gt;=CI$6,IF(CG32&lt;CJ$6,(((Volatilities_Resets!$Q21-Volatilities_Resets!$O21)/50)*((Calculator!CG32-Calculator!CI$6)*10000)+Volatilities_Resets!$O21)),IF(CG32&gt;=CI$5,IF(CG32&lt;CJ$5,(((Volatilities_Resets!$O21-Volatilities_Resets!$M21)/50)*((Calculator!CG32-Calculator!CI$5)*10000)+Volatilities_Resets!$M21)),IF(CG32&gt;=CI$4,IF(CG32&lt;CJ$4,(((Volatilities_Resets!$M21-Volatilities_Resets!$K21)/50)*((Calculator!CG32-Calculator!CI$4)*10000)+Volatilities_Resets!$K21)),IF(CG32&gt;=CI$3,IF(CG32&lt;CJ$3,(((Volatilities_Resets!$K21-Volatilities_Resets!$I21)/50)*((Calculator!CG32-Calculator!CI$3)*10000)+Volatilities_Resets!$I21)),IF(CG32&gt;=CI$2,IF(CG32&lt;CJ$2,(((Volatilities_Resets!$I21-Volatilities_Resets!$G21)/50)*((Calculator!CG32-Calculator!CI$2)*10000)+Volatilities_Resets!$G21)),"Well, something broke...")))))))))))/10000</f>
        <v>1.3228E-2</v>
      </c>
      <c r="CJ32" s="63">
        <f t="shared" ca="1" si="41"/>
        <v>3635.6024994247337</v>
      </c>
      <c r="CK32" s="63">
        <f t="shared" ca="1" si="42"/>
        <v>1.4803513400766984E-4</v>
      </c>
      <c r="CL32" s="63">
        <f t="shared" ca="1" si="48"/>
        <v>28874.700849084642</v>
      </c>
      <c r="CO32" s="63">
        <f t="shared" ca="1" si="43"/>
        <v>60.383907492729819</v>
      </c>
      <c r="CP32" s="63">
        <f ca="1">SUM($CO$15:CO32)</f>
        <v>675.36394531152519</v>
      </c>
      <c r="CR32" s="52">
        <f ca="1">EXP(-AVERAGE(CH$15:CH32)*CE32)</f>
        <v>0.92505738007546767</v>
      </c>
      <c r="CT32"/>
      <c r="CU32"/>
      <c r="CV32"/>
      <c r="CW32"/>
      <c r="CX32"/>
      <c r="CY32"/>
      <c r="CZ32"/>
      <c r="DA32"/>
      <c r="DB32"/>
      <c r="DC32"/>
      <c r="DD32"/>
      <c r="DE32"/>
      <c r="DF32"/>
      <c r="DG32"/>
      <c r="DH32"/>
      <c r="DI32"/>
      <c r="DJ32"/>
      <c r="DK32"/>
      <c r="DL32"/>
    </row>
    <row r="33" spans="2:116" ht="15.75" customHeight="1" x14ac:dyDescent="0.2">
      <c r="B33" s="52">
        <v>2</v>
      </c>
      <c r="C33" s="52">
        <f t="shared" ca="1" si="15"/>
        <v>19</v>
      </c>
      <c r="D33" s="71">
        <f t="shared" ca="1" si="16"/>
        <v>45738</v>
      </c>
      <c r="E33" s="71">
        <f t="shared" ca="1" si="0"/>
        <v>45769</v>
      </c>
      <c r="F33" s="72">
        <f t="shared" ca="1" si="1"/>
        <v>31</v>
      </c>
      <c r="G33" s="73">
        <f ca="1">SUM($F$15:F33)/360</f>
        <v>1.6055555555555556</v>
      </c>
      <c r="H33" s="74">
        <f t="shared" si="2"/>
        <v>25000000</v>
      </c>
      <c r="I33" s="59">
        <f>IF('Cap Pricer'!$E$22=DataValidation!$C$2,'Cap Pricer'!$E$23,IF('Cap Pricer'!$E$22=DataValidation!$C$3,VLOOKUP($B33,'Cap Pricer'!$C$25:$E$31,3),""))</f>
        <v>0.02</v>
      </c>
      <c r="J33" s="57">
        <f>Volatilities_Resets!$E22*0.01</f>
        <v>4.2025499999999993E-2</v>
      </c>
      <c r="K33" s="61">
        <f>IF(I33=L$11,Volatilities_Resets!$AA22,IF(I33&gt;=K$11,IF(I33&lt;L$11,(((Volatilities_Resets!$AA22-Volatilities_Resets!$Y22)/50)*((Calculator!I33-Calculator!K$11)*10000)+Volatilities_Resets!$Y22)),IF(I33&gt;=K$10,IF(I33&lt;L$10,(((Volatilities_Resets!$Y22-Volatilities_Resets!$W22)/50)*((Calculator!I33-Calculator!K$10)*10000)+Volatilities_Resets!$W22)),IF(I33&gt;=K$9,IF(I33&lt;L$9,(((Volatilities_Resets!$W22-Volatilities_Resets!$U22)/50)*((Calculator!I33-Calculator!K$9)*10000)+Volatilities_Resets!$U22)),IF(I33&gt;=K$8,IF(I33&lt;L$8,(((Volatilities_Resets!$U22-Volatilities_Resets!$S22)/50)*((Calculator!I33-Calculator!K$8)*10000)+Volatilities_Resets!$S22)),IF(I33&gt;=K$7,IF(I33&lt;L$7,(((Volatilities_Resets!$S22-Volatilities_Resets!$Q22)/50)*((Calculator!I33-Calculator!K$7)*10000)+Volatilities_Resets!$Q22)),IF(I33&gt;=K$6,IF(I33&lt;L$6,(((Volatilities_Resets!$Q22-Volatilities_Resets!$O22)/50)*((Calculator!I33-Calculator!K$6)*10000)+Volatilities_Resets!$O22)),IF(I33&gt;=K$5,IF(I33&lt;L$5,(((Volatilities_Resets!$O22-Volatilities_Resets!$M22)/50)*((Calculator!I33-Calculator!K$5)*10000)+Volatilities_Resets!$M22)),IF(I33&gt;=K$4,IF(I33&lt;L$4,(((Volatilities_Resets!$M22-Volatilities_Resets!$K22)/50)*((Calculator!I33-Calculator!K$4)*10000)+Volatilities_Resets!$K22)),IF(I33&gt;=K$3,IF(I33&lt;L$3,(((Volatilities_Resets!$K22-Volatilities_Resets!$I22)/50)*((Calculator!I33-Calculator!K$3)*10000)+Volatilities_Resets!$I22)),IF(I33&gt;=K$2,IF(I33&lt;L$2,(((Volatilities_Resets!$I22-Volatilities_Resets!$G22)/50)*((Calculator!I33-Calculator!K$2)*10000)+Volatilities_Resets!$G22)),"Well, something broke...")))))))))))/10000</f>
        <v>2.1232000000000001E-2</v>
      </c>
      <c r="L33" s="47">
        <f t="shared" ca="1" si="17"/>
        <v>49911.573942217816</v>
      </c>
      <c r="M33" s="63">
        <f t="shared" ca="1" si="18"/>
        <v>1.9993371080105592E-3</v>
      </c>
      <c r="N33" s="63">
        <f t="shared" ca="1" si="44"/>
        <v>1216127.1775135836</v>
      </c>
      <c r="Q33" s="63">
        <f t="shared" ca="1" si="19"/>
        <v>66.227757820867481</v>
      </c>
      <c r="R33" s="63">
        <f ca="1">SUM($Q$15:Q33)</f>
        <v>455.53253435995668</v>
      </c>
      <c r="T33" s="52">
        <f ca="1">EXP(-AVERAGE(J$15:J33)*G33)</f>
        <v>0.92170207406994376</v>
      </c>
      <c r="U33" s="57"/>
      <c r="V33" s="52">
        <f t="shared" ca="1" si="20"/>
        <v>19</v>
      </c>
      <c r="W33" s="71">
        <f t="shared" ca="1" si="21"/>
        <v>45738</v>
      </c>
      <c r="X33" s="71">
        <f t="shared" ca="1" si="3"/>
        <v>45769</v>
      </c>
      <c r="Y33" s="72">
        <f t="shared" ca="1" si="4"/>
        <v>31</v>
      </c>
      <c r="Z33" s="73">
        <f ca="1">SUM(Y$15:Y33)/360</f>
        <v>1.6055555555555556</v>
      </c>
      <c r="AA33" s="74">
        <f t="shared" si="22"/>
        <v>25000000</v>
      </c>
      <c r="AB33" s="59">
        <f t="shared" si="23"/>
        <v>0.03</v>
      </c>
      <c r="AC33" s="57">
        <f>Volatilities_Resets!$E22*0.01</f>
        <v>4.2025499999999993E-2</v>
      </c>
      <c r="AD33" s="61">
        <f>IF(AB33=AE$11,Volatilities_Resets!$AA22,IF(AB33&gt;=AD$11,IF(AB33&lt;AE$11,(((Volatilities_Resets!$AA22-Volatilities_Resets!$Y22)/50)*((Calculator!AB33-Calculator!AD$11)*10000)+Volatilities_Resets!$Y22)),IF(AB33&gt;=AD$10,IF(AB33&lt;AE$10,(((Volatilities_Resets!$Y22-Volatilities_Resets!$W22)/50)*((Calculator!AB33-Calculator!AD$10)*10000)+Volatilities_Resets!$W22)),IF(AB33&gt;=AD$9,IF(AB33&lt;AE$9,(((Volatilities_Resets!$W22-Volatilities_Resets!$U22)/50)*((Calculator!AB33-Calculator!AD$9)*10000)+Volatilities_Resets!$U22)),IF(AB33&gt;=AD$8,IF(AB33&lt;AE$8,(((Volatilities_Resets!$U22-Volatilities_Resets!$S22)/50)*((Calculator!AB33-Calculator!AD$8)*10000)+Volatilities_Resets!$S22)),IF(AB33&gt;=AD$7,IF(AB33&lt;AE$7,(((Volatilities_Resets!$S22-Volatilities_Resets!$Q22)/50)*((Calculator!AB33-Calculator!AD$7)*10000)+Volatilities_Resets!$Q22)),IF(AB33&gt;=AD$6,IF(AB33&lt;AE$6,(((Volatilities_Resets!$Q22-Volatilities_Resets!$O22)/50)*((Calculator!AB33-Calculator!AD$6)*10000)+Volatilities_Resets!$O22)),IF(AB33&gt;=AD$5,IF(AB33&lt;AE$5,(((Volatilities_Resets!$O22-Volatilities_Resets!$M22)/50)*((Calculator!AB33-Calculator!AD$5)*10000)+Volatilities_Resets!$M22)),IF(AB33&gt;=AD$4,IF(AB33&lt;AE$4,(((Volatilities_Resets!$M22-Volatilities_Resets!$K22)/50)*((Calculator!AB33-Calculator!AD$4)*10000)+Volatilities_Resets!$K22)),IF(AB33&gt;=AD$3,IF(AB33&lt;AE$3,(((Volatilities_Resets!$K22-Volatilities_Resets!$I22)/50)*((Calculator!AB33-Calculator!AD$3)*10000)+Volatilities_Resets!$I22)),IF(AB33&gt;=AD$2,IF(AB33&lt;AE$2,(((Volatilities_Resets!$I22-Volatilities_Resets!$G22)/50)*((Calculator!AB33-Calculator!AD$2)*10000)+Volatilities_Resets!$G22)),"Well, something broke...")))))))))))/10000</f>
        <v>1.8808999999999999E-2</v>
      </c>
      <c r="AE33" s="63">
        <f t="shared" ca="1" si="24"/>
        <v>33148.446332097286</v>
      </c>
      <c r="AF33" s="63">
        <f t="shared" ca="1" si="25"/>
        <v>1.3294727793730877E-3</v>
      </c>
      <c r="AG33" s="63">
        <f t="shared" ca="1" si="45"/>
        <v>850308.36869971023</v>
      </c>
      <c r="AJ33" s="63">
        <f t="shared" ca="1" si="26"/>
        <v>81.453717702405712</v>
      </c>
      <c r="AK33" s="63">
        <f ca="1">SUM($AJ$15:AJ33)</f>
        <v>634.49359785813613</v>
      </c>
      <c r="AM33" s="52">
        <f ca="1">EXP(-AVERAGE(AC$15:AC33)*Z33)</f>
        <v>0.92170207406994376</v>
      </c>
      <c r="AO33" s="52">
        <f t="shared" ca="1" si="27"/>
        <v>19</v>
      </c>
      <c r="AP33" s="71">
        <f t="shared" ca="1" si="28"/>
        <v>45738</v>
      </c>
      <c r="AQ33" s="71">
        <f t="shared" ca="1" si="5"/>
        <v>45769</v>
      </c>
      <c r="AR33" s="72">
        <f t="shared" ca="1" si="6"/>
        <v>31</v>
      </c>
      <c r="AS33" s="73">
        <f ca="1">SUM(AR$15:AR33)/360</f>
        <v>1.6055555555555556</v>
      </c>
      <c r="AT33" s="74">
        <f t="shared" si="7"/>
        <v>25000000</v>
      </c>
      <c r="AU33" s="59">
        <f t="shared" si="29"/>
        <v>0.04</v>
      </c>
      <c r="AV33" s="57">
        <f>Volatilities_Resets!$E22*0.01</f>
        <v>4.2025499999999993E-2</v>
      </c>
      <c r="AW33" s="61">
        <f>IF(AU33=AX$11,Volatilities_Resets!$AA22,IF(AU33&gt;=AW$11,IF(AU33&lt;AX$11,(((Volatilities_Resets!$AA22-Volatilities_Resets!$Y22)/50)*((Calculator!AU33-Calculator!AW$11)*10000)+Volatilities_Resets!$Y22)),IF(AU33&gt;=AW$10,IF(AU33&lt;AX$10,(((Volatilities_Resets!$Y22-Volatilities_Resets!$W22)/50)*((Calculator!AU33-Calculator!AW$10)*10000)+Volatilities_Resets!$W22)),IF(AU33&gt;=AW$9,IF(AU33&lt;AX$9,(((Volatilities_Resets!$W22-Volatilities_Resets!$U22)/50)*((Calculator!AU33-Calculator!AW$9)*10000)+Volatilities_Resets!$U22)),IF(AU33&gt;=AW$8,IF(AU33&lt;AX$8,(((Volatilities_Resets!$U22-Volatilities_Resets!$S22)/50)*((Calculator!AU33-Calculator!AW$8)*10000)+Volatilities_Resets!$S22)),IF(AU33&gt;=AW$7,IF(AU33&lt;AX$7,(((Volatilities_Resets!$S22-Volatilities_Resets!$Q22)/50)*((Calculator!AU33-Calculator!AW$7)*10000)+Volatilities_Resets!$Q22)),IF(AU33&gt;=AW$6,IF(AU33&lt;AX$6,(((Volatilities_Resets!$Q22-Volatilities_Resets!$O22)/50)*((Calculator!AU33-Calculator!AW$6)*10000)+Volatilities_Resets!$O22)),IF(AU33&gt;=AW$5,IF(AU33&lt;AX$5,(((Volatilities_Resets!$O22-Volatilities_Resets!$M22)/50)*((Calculator!AU33-Calculator!AW$5)*10000)+Volatilities_Resets!$M22)),IF(AU33&gt;=AW$4,IF(AU33&lt;AX$4,(((Volatilities_Resets!$M22-Volatilities_Resets!$K22)/50)*((Calculator!AU33-Calculator!AW$4)*10000)+Volatilities_Resets!$K22)),IF(AU33&gt;=AW$3,IF(AU33&lt;AX$3,(((Volatilities_Resets!$K22-Volatilities_Resets!$I22)/50)*((Calculator!AU33-Calculator!AW$3)*10000)+Volatilities_Resets!$I22)),IF(AU33&gt;=AW$2,IF(AU33&lt;AX$2,(((Volatilities_Resets!$I22-Volatilities_Resets!$G22)/50)*((Calculator!AU33-Calculator!AW$2)*10000)+Volatilities_Resets!$G22)),"Well, something broke...")))))))))))/10000</f>
        <v>1.5907000000000001E-2</v>
      </c>
      <c r="AX33" s="63">
        <f t="shared" ca="1" si="30"/>
        <v>18045.159383538907</v>
      </c>
      <c r="AY33" s="63">
        <f t="shared" ca="1" si="31"/>
        <v>7.2579840079577726E-4</v>
      </c>
      <c r="AZ33" s="63">
        <f t="shared" ca="1" si="46"/>
        <v>495862.19283853157</v>
      </c>
      <c r="BC33" s="63">
        <f t="shared" ca="1" si="8"/>
        <v>91.986453522386483</v>
      </c>
      <c r="BD33" s="63">
        <f ca="1">SUM($BC$15:BC33)</f>
        <v>855.44912292507649</v>
      </c>
      <c r="BF33" s="52">
        <f ca="1">EXP(-AVERAGE(AV$15:AV33)*AS33)</f>
        <v>0.92170207406994376</v>
      </c>
      <c r="BH33" s="52">
        <f t="shared" ca="1" si="32"/>
        <v>19</v>
      </c>
      <c r="BI33" s="71">
        <f t="shared" ca="1" si="33"/>
        <v>45738</v>
      </c>
      <c r="BJ33" s="71">
        <f t="shared" ca="1" si="9"/>
        <v>45769</v>
      </c>
      <c r="BK33" s="72">
        <f t="shared" ca="1" si="10"/>
        <v>31</v>
      </c>
      <c r="BL33" s="73">
        <f ca="1">SUM(BK$15:BK33)/360</f>
        <v>1.6055555555555556</v>
      </c>
      <c r="BM33" s="74">
        <f t="shared" si="11"/>
        <v>25000000</v>
      </c>
      <c r="BN33" s="59">
        <f t="shared" si="34"/>
        <v>0.05</v>
      </c>
      <c r="BO33" s="57">
        <f>Volatilities_Resets!$E22*0.01</f>
        <v>4.2025499999999993E-2</v>
      </c>
      <c r="BP33" s="61">
        <f>IF(BN33=BQ$11,Volatilities_Resets!$AA22,IF(BN33&gt;=BP$11,IF(BN33&lt;BQ$11,(((Volatilities_Resets!$AA22-Volatilities_Resets!$Y22)/50)*((Calculator!BN33-Calculator!BP$11)*10000)+Volatilities_Resets!$Y22)),IF(BN33&gt;=BP$10,IF(BN33&lt;BQ$10,(((Volatilities_Resets!$Y22-Volatilities_Resets!$W22)/50)*((Calculator!BN33-Calculator!BP$10)*10000)+Volatilities_Resets!$W22)),IF(BN33&gt;=BP$9,IF(BN33&lt;BQ$9,(((Volatilities_Resets!$W22-Volatilities_Resets!$U22)/50)*((Calculator!BN33-Calculator!BP$9)*10000)+Volatilities_Resets!$U22)),IF(BN33&gt;=BP$8,IF(BN33&lt;BQ$8,(((Volatilities_Resets!$U22-Volatilities_Resets!$S22)/50)*((Calculator!BN33-Calculator!BP$8)*10000)+Volatilities_Resets!$S22)),IF(BN33&gt;=BP$7,IF(BN33&lt;BQ$7,(((Volatilities_Resets!$S22-Volatilities_Resets!$Q22)/50)*((Calculator!BN33-Calculator!BP$7)*10000)+Volatilities_Resets!$Q22)),IF(BN33&gt;=BP$6,IF(BN33&lt;BQ$6,(((Volatilities_Resets!$Q22-Volatilities_Resets!$O22)/50)*((Calculator!BN33-Calculator!BP$6)*10000)+Volatilities_Resets!$O22)),IF(BN33&gt;=BP$5,IF(BN33&lt;BQ$5,(((Volatilities_Resets!$O22-Volatilities_Resets!$M22)/50)*((Calculator!BN33-Calculator!BP$5)*10000)+Volatilities_Resets!$M22)),IF(BN33&gt;=BP$4,IF(BN33&lt;BQ$4,(((Volatilities_Resets!$M22-Volatilities_Resets!$K22)/50)*((Calculator!BN33-Calculator!BP$4)*10000)+Volatilities_Resets!$K22)),IF(BN33&gt;=BP$3,IF(BN33&lt;BQ$3,(((Volatilities_Resets!$K22-Volatilities_Resets!$I22)/50)*((Calculator!BN33-Calculator!BP$3)*10000)+Volatilities_Resets!$I22)),IF(BN33&gt;=BP$2,IF(BN33&lt;BQ$2,(((Volatilities_Resets!$I22-Volatilities_Resets!$G22)/50)*((Calculator!BN33-Calculator!BP$2)*10000)+Volatilities_Resets!$G22)),"Well, something broke...")))))))))))/10000</f>
        <v>1.3968000000000001E-2</v>
      </c>
      <c r="BQ33" s="63">
        <f t="shared" ca="1" si="35"/>
        <v>7497.2176878331047</v>
      </c>
      <c r="BR33" s="63">
        <f t="shared" ca="1" si="36"/>
        <v>3.0351617274514711E-4</v>
      </c>
      <c r="BS33" s="63">
        <f t="shared" ca="1" si="47"/>
        <v>186490.28056682256</v>
      </c>
      <c r="BV33" s="63">
        <f t="shared" ca="1" si="37"/>
        <v>83.586055694694991</v>
      </c>
      <c r="BW33" s="63">
        <f ca="1">SUM($BV$15:BV33)</f>
        <v>1150.2190718406268</v>
      </c>
      <c r="BY33" s="52">
        <f ca="1">EXP(-AVERAGE(BO$15:BO33)*BL33)</f>
        <v>0.92170207406994376</v>
      </c>
      <c r="CA33" s="52">
        <f t="shared" ca="1" si="38"/>
        <v>19</v>
      </c>
      <c r="CB33" s="71">
        <f t="shared" ca="1" si="39"/>
        <v>45738</v>
      </c>
      <c r="CC33" s="71">
        <f t="shared" ca="1" si="12"/>
        <v>45769</v>
      </c>
      <c r="CD33" s="72">
        <f t="shared" ca="1" si="13"/>
        <v>31</v>
      </c>
      <c r="CE33" s="73">
        <f ca="1">SUM(CD$15:CD33)/360</f>
        <v>1.6055555555555556</v>
      </c>
      <c r="CF33" s="74">
        <f t="shared" si="14"/>
        <v>25000000</v>
      </c>
      <c r="CG33" s="59">
        <f t="shared" si="40"/>
        <v>0.06</v>
      </c>
      <c r="CH33" s="57">
        <f>Volatilities_Resets!$E22*0.01</f>
        <v>4.2025499999999993E-2</v>
      </c>
      <c r="CI33" s="61">
        <f>IF(CG33=CJ$11,Volatilities_Resets!$AA22,IF(CG33&gt;=CI$11,IF(CG33&lt;CJ$11,(((Volatilities_Resets!$AA22-Volatilities_Resets!$Y22)/50)*((Calculator!CG33-Calculator!CI$11)*10000)+Volatilities_Resets!$Y22)),IF(CG33&gt;=CI$10,IF(CG33&lt;CJ$10,(((Volatilities_Resets!$Y22-Volatilities_Resets!$W22)/50)*((Calculator!CG33-Calculator!CI$10)*10000)+Volatilities_Resets!$W22)),IF(CG33&gt;=CI$9,IF(CG33&lt;CJ$9,(((Volatilities_Resets!$W22-Volatilities_Resets!$U22)/50)*((Calculator!CG33-Calculator!CI$9)*10000)+Volatilities_Resets!$U22)),IF(CG33&gt;=CI$8,IF(CG33&lt;CJ$8,(((Volatilities_Resets!$U22-Volatilities_Resets!$S22)/50)*((Calculator!CG33-Calculator!CI$8)*10000)+Volatilities_Resets!$S22)),IF(CG33&gt;=CI$7,IF(CG33&lt;CJ$7,(((Volatilities_Resets!$S22-Volatilities_Resets!$Q22)/50)*((Calculator!CG33-Calculator!CI$7)*10000)+Volatilities_Resets!$Q22)),IF(CG33&gt;=CI$6,IF(CG33&lt;CJ$6,(((Volatilities_Resets!$Q22-Volatilities_Resets!$O22)/50)*((Calculator!CG33-Calculator!CI$6)*10000)+Volatilities_Resets!$O22)),IF(CG33&gt;=CI$5,IF(CG33&lt;CJ$5,(((Volatilities_Resets!$O22-Volatilities_Resets!$M22)/50)*((Calculator!CG33-Calculator!CI$5)*10000)+Volatilities_Resets!$M22)),IF(CG33&gt;=CI$4,IF(CG33&lt;CJ$4,(((Volatilities_Resets!$M22-Volatilities_Resets!$K22)/50)*((Calculator!CG33-Calculator!CI$4)*10000)+Volatilities_Resets!$K22)),IF(CG33&gt;=CI$3,IF(CG33&lt;CJ$3,(((Volatilities_Resets!$K22-Volatilities_Resets!$I22)/50)*((Calculator!CG33-Calculator!CI$3)*10000)+Volatilities_Resets!$I22)),IF(CG33&gt;=CI$2,IF(CG33&lt;CJ$2,(((Volatilities_Resets!$I22-Volatilities_Resets!$G22)/50)*((Calculator!CG33-Calculator!CI$2)*10000)+Volatilities_Resets!$G22)),"Well, something broke...")))))))))))/10000</f>
        <v>1.3415E-2</v>
      </c>
      <c r="CJ33" s="63">
        <f t="shared" ca="1" si="41"/>
        <v>2515.9428172081834</v>
      </c>
      <c r="CK33" s="63">
        <f t="shared" ca="1" si="42"/>
        <v>1.029410803443451E-4</v>
      </c>
      <c r="CL33" s="63">
        <f t="shared" ca="1" si="48"/>
        <v>31390.643666292824</v>
      </c>
      <c r="CO33" s="63">
        <f t="shared" ca="1" si="43"/>
        <v>53.075468647430007</v>
      </c>
      <c r="CP33" s="63">
        <f ca="1">SUM($CO$15:CO33)</f>
        <v>728.43941395895524</v>
      </c>
      <c r="CR33" s="52">
        <f ca="1">EXP(-AVERAGE(CH$15:CH33)*CE33)</f>
        <v>0.92170207406994376</v>
      </c>
      <c r="CT33"/>
      <c r="CU33"/>
      <c r="CV33"/>
      <c r="CW33"/>
      <c r="CX33"/>
      <c r="CY33"/>
      <c r="CZ33"/>
      <c r="DA33"/>
      <c r="DB33"/>
      <c r="DC33"/>
      <c r="DD33"/>
      <c r="DE33"/>
      <c r="DF33"/>
      <c r="DG33"/>
      <c r="DH33"/>
      <c r="DI33"/>
      <c r="DJ33"/>
      <c r="DK33"/>
      <c r="DL33"/>
    </row>
    <row r="34" spans="2:116" ht="15.75" customHeight="1" x14ac:dyDescent="0.2">
      <c r="B34" s="52">
        <v>2</v>
      </c>
      <c r="C34" s="52">
        <f t="shared" ca="1" si="15"/>
        <v>20</v>
      </c>
      <c r="D34" s="71">
        <f t="shared" ca="1" si="16"/>
        <v>45769</v>
      </c>
      <c r="E34" s="71">
        <f t="shared" ca="1" si="0"/>
        <v>45799</v>
      </c>
      <c r="F34" s="72">
        <f t="shared" ca="1" si="1"/>
        <v>30</v>
      </c>
      <c r="G34" s="73">
        <f ca="1">SUM($F$15:F34)/360</f>
        <v>1.6888888888888889</v>
      </c>
      <c r="H34" s="74">
        <f t="shared" si="2"/>
        <v>25000000</v>
      </c>
      <c r="I34" s="59">
        <f>IF('Cap Pricer'!$E$22=DataValidation!$C$2,'Cap Pricer'!$E$23,IF('Cap Pricer'!$E$22=DataValidation!$C$3,VLOOKUP($B34,'Cap Pricer'!$C$25:$E$31,3),""))</f>
        <v>0.02</v>
      </c>
      <c r="J34" s="57">
        <f>Volatilities_Resets!$E23*0.01</f>
        <v>4.1688099999999999E-2</v>
      </c>
      <c r="K34" s="61">
        <f>IF(I34=L$11,Volatilities_Resets!$AA23,IF(I34&gt;=K$11,IF(I34&lt;L$11,(((Volatilities_Resets!$AA23-Volatilities_Resets!$Y23)/50)*((Calculator!I34-Calculator!K$11)*10000)+Volatilities_Resets!$Y23)),IF(I34&gt;=K$10,IF(I34&lt;L$10,(((Volatilities_Resets!$Y23-Volatilities_Resets!$W23)/50)*((Calculator!I34-Calculator!K$10)*10000)+Volatilities_Resets!$W23)),IF(I34&gt;=K$9,IF(I34&lt;L$9,(((Volatilities_Resets!$W23-Volatilities_Resets!$U23)/50)*((Calculator!I34-Calculator!K$9)*10000)+Volatilities_Resets!$U23)),IF(I34&gt;=K$8,IF(I34&lt;L$8,(((Volatilities_Resets!$U23-Volatilities_Resets!$S23)/50)*((Calculator!I34-Calculator!K$8)*10000)+Volatilities_Resets!$S23)),IF(I34&gt;=K$7,IF(I34&lt;L$7,(((Volatilities_Resets!$S23-Volatilities_Resets!$Q23)/50)*((Calculator!I34-Calculator!K$7)*10000)+Volatilities_Resets!$Q23)),IF(I34&gt;=K$6,IF(I34&lt;L$6,(((Volatilities_Resets!$Q23-Volatilities_Resets!$O23)/50)*((Calculator!I34-Calculator!K$6)*10000)+Volatilities_Resets!$O23)),IF(I34&gt;=K$5,IF(I34&lt;L$5,(((Volatilities_Resets!$O23-Volatilities_Resets!$M23)/50)*((Calculator!I34-Calculator!K$5)*10000)+Volatilities_Resets!$M23)),IF(I34&gt;=K$4,IF(I34&lt;L$4,(((Volatilities_Resets!$M23-Volatilities_Resets!$K23)/50)*((Calculator!I34-Calculator!K$4)*10000)+Volatilities_Resets!$K23)),IF(I34&gt;=K$3,IF(I34&lt;L$3,(((Volatilities_Resets!$K23-Volatilities_Resets!$I23)/50)*((Calculator!I34-Calculator!K$3)*10000)+Volatilities_Resets!$I23)),IF(I34&gt;=K$2,IF(I34&lt;L$2,(((Volatilities_Resets!$I23-Volatilities_Resets!$G23)/50)*((Calculator!I34-Calculator!K$2)*10000)+Volatilities_Resets!$G23)),"Well, something broke...")))))))))))/10000</f>
        <v>2.1218000000000001E-2</v>
      </c>
      <c r="L34" s="47">
        <f t="shared" ca="1" si="17"/>
        <v>47996.492816675505</v>
      </c>
      <c r="M34" s="63">
        <f t="shared" ca="1" si="18"/>
        <v>1.9227765447561314E-3</v>
      </c>
      <c r="N34" s="63">
        <f t="shared" ca="1" si="44"/>
        <v>1264123.670330259</v>
      </c>
      <c r="Q34" s="63">
        <f t="shared" ca="1" si="19"/>
        <v>66.978844074774685</v>
      </c>
      <c r="R34" s="63">
        <f ca="1">SUM($Q$15:Q34)</f>
        <v>522.51137843473134</v>
      </c>
      <c r="T34" s="52">
        <f ca="1">EXP(-AVERAGE(J$15:J34)*G34)</f>
        <v>0.91851490971743188</v>
      </c>
      <c r="U34" s="57"/>
      <c r="V34" s="52">
        <f t="shared" ca="1" si="20"/>
        <v>20</v>
      </c>
      <c r="W34" s="71">
        <f t="shared" ca="1" si="21"/>
        <v>45769</v>
      </c>
      <c r="X34" s="71">
        <f t="shared" ca="1" si="3"/>
        <v>45799</v>
      </c>
      <c r="Y34" s="72">
        <f t="shared" ca="1" si="4"/>
        <v>30</v>
      </c>
      <c r="Z34" s="73">
        <f ca="1">SUM(Y$15:Y34)/360</f>
        <v>1.6888888888888889</v>
      </c>
      <c r="AA34" s="74">
        <f t="shared" si="22"/>
        <v>25000000</v>
      </c>
      <c r="AB34" s="59">
        <f t="shared" si="23"/>
        <v>0.03</v>
      </c>
      <c r="AC34" s="57">
        <f>Volatilities_Resets!$E23*0.01</f>
        <v>4.1688099999999999E-2</v>
      </c>
      <c r="AD34" s="61">
        <f>IF(AB34=AE$11,Volatilities_Resets!$AA23,IF(AB34&gt;=AD$11,IF(AB34&lt;AE$11,(((Volatilities_Resets!$AA23-Volatilities_Resets!$Y23)/50)*((Calculator!AB34-Calculator!AD$11)*10000)+Volatilities_Resets!$Y23)),IF(AB34&gt;=AD$10,IF(AB34&lt;AE$10,(((Volatilities_Resets!$Y23-Volatilities_Resets!$W23)/50)*((Calculator!AB34-Calculator!AD$10)*10000)+Volatilities_Resets!$W23)),IF(AB34&gt;=AD$9,IF(AB34&lt;AE$9,(((Volatilities_Resets!$W23-Volatilities_Resets!$U23)/50)*((Calculator!AB34-Calculator!AD$9)*10000)+Volatilities_Resets!$U23)),IF(AB34&gt;=AD$8,IF(AB34&lt;AE$8,(((Volatilities_Resets!$U23-Volatilities_Resets!$S23)/50)*((Calculator!AB34-Calculator!AD$8)*10000)+Volatilities_Resets!$S23)),IF(AB34&gt;=AD$7,IF(AB34&lt;AE$7,(((Volatilities_Resets!$S23-Volatilities_Resets!$Q23)/50)*((Calculator!AB34-Calculator!AD$7)*10000)+Volatilities_Resets!$Q23)),IF(AB34&gt;=AD$6,IF(AB34&lt;AE$6,(((Volatilities_Resets!$Q23-Volatilities_Resets!$O23)/50)*((Calculator!AB34-Calculator!AD$6)*10000)+Volatilities_Resets!$O23)),IF(AB34&gt;=AD$5,IF(AB34&lt;AE$5,(((Volatilities_Resets!$O23-Volatilities_Resets!$M23)/50)*((Calculator!AB34-Calculator!AD$5)*10000)+Volatilities_Resets!$M23)),IF(AB34&gt;=AD$4,IF(AB34&lt;AE$4,(((Volatilities_Resets!$M23-Volatilities_Resets!$K23)/50)*((Calculator!AB34-Calculator!AD$4)*10000)+Volatilities_Resets!$K23)),IF(AB34&gt;=AD$3,IF(AB34&lt;AE$3,(((Volatilities_Resets!$K23-Volatilities_Resets!$I23)/50)*((Calculator!AB34-Calculator!AD$3)*10000)+Volatilities_Resets!$I23)),IF(AB34&gt;=AD$2,IF(AB34&lt;AE$2,(((Volatilities_Resets!$I23-Volatilities_Resets!$G23)/50)*((Calculator!AB34-Calculator!AD$2)*10000)+Volatilities_Resets!$G23)),"Well, something broke...")))))))))))/10000</f>
        <v>1.8793999999999998E-2</v>
      </c>
      <c r="AE34" s="63">
        <f t="shared" ca="1" si="24"/>
        <v>31923.694854117366</v>
      </c>
      <c r="AF34" s="63">
        <f t="shared" ca="1" si="25"/>
        <v>1.2804889953758163E-3</v>
      </c>
      <c r="AG34" s="63">
        <f t="shared" ca="1" si="45"/>
        <v>882232.06355382758</v>
      </c>
      <c r="AJ34" s="63">
        <f t="shared" ca="1" si="26"/>
        <v>81.316152768117348</v>
      </c>
      <c r="AK34" s="63">
        <f ca="1">SUM($AJ$15:AJ34)</f>
        <v>715.8097506262535</v>
      </c>
      <c r="AM34" s="52">
        <f ca="1">EXP(-AVERAGE(AC$15:AC34)*Z34)</f>
        <v>0.91851490971743188</v>
      </c>
      <c r="AO34" s="52">
        <f t="shared" ca="1" si="27"/>
        <v>20</v>
      </c>
      <c r="AP34" s="71">
        <f t="shared" ca="1" si="28"/>
        <v>45769</v>
      </c>
      <c r="AQ34" s="71">
        <f t="shared" ca="1" si="5"/>
        <v>45799</v>
      </c>
      <c r="AR34" s="72">
        <f t="shared" ca="1" si="6"/>
        <v>30</v>
      </c>
      <c r="AS34" s="73">
        <f ca="1">SUM(AR$15:AR34)/360</f>
        <v>1.6888888888888889</v>
      </c>
      <c r="AT34" s="74">
        <f t="shared" si="7"/>
        <v>25000000</v>
      </c>
      <c r="AU34" s="59">
        <f t="shared" si="29"/>
        <v>0.04</v>
      </c>
      <c r="AV34" s="57">
        <f>Volatilities_Resets!$E23*0.01</f>
        <v>4.1688099999999999E-2</v>
      </c>
      <c r="AW34" s="61">
        <f>IF(AU34=AX$11,Volatilities_Resets!$AA23,IF(AU34&gt;=AW$11,IF(AU34&lt;AX$11,(((Volatilities_Resets!$AA23-Volatilities_Resets!$Y23)/50)*((Calculator!AU34-Calculator!AW$11)*10000)+Volatilities_Resets!$Y23)),IF(AU34&gt;=AW$10,IF(AU34&lt;AX$10,(((Volatilities_Resets!$Y23-Volatilities_Resets!$W23)/50)*((Calculator!AU34-Calculator!AW$10)*10000)+Volatilities_Resets!$W23)),IF(AU34&gt;=AW$9,IF(AU34&lt;AX$9,(((Volatilities_Resets!$W23-Volatilities_Resets!$U23)/50)*((Calculator!AU34-Calculator!AW$9)*10000)+Volatilities_Resets!$U23)),IF(AU34&gt;=AW$8,IF(AU34&lt;AX$8,(((Volatilities_Resets!$U23-Volatilities_Resets!$S23)/50)*((Calculator!AU34-Calculator!AW$8)*10000)+Volatilities_Resets!$S23)),IF(AU34&gt;=AW$7,IF(AU34&lt;AX$7,(((Volatilities_Resets!$S23-Volatilities_Resets!$Q23)/50)*((Calculator!AU34-Calculator!AW$7)*10000)+Volatilities_Resets!$Q23)),IF(AU34&gt;=AW$6,IF(AU34&lt;AX$6,(((Volatilities_Resets!$Q23-Volatilities_Resets!$O23)/50)*((Calculator!AU34-Calculator!AW$6)*10000)+Volatilities_Resets!$O23)),IF(AU34&gt;=AW$5,IF(AU34&lt;AX$5,(((Volatilities_Resets!$O23-Volatilities_Resets!$M23)/50)*((Calculator!AU34-Calculator!AW$5)*10000)+Volatilities_Resets!$M23)),IF(AU34&gt;=AW$4,IF(AU34&lt;AX$4,(((Volatilities_Resets!$M23-Volatilities_Resets!$K23)/50)*((Calculator!AU34-Calculator!AW$4)*10000)+Volatilities_Resets!$K23)),IF(AU34&gt;=AW$3,IF(AU34&lt;AX$3,(((Volatilities_Resets!$K23-Volatilities_Resets!$I23)/50)*((Calculator!AU34-Calculator!AW$3)*10000)+Volatilities_Resets!$I23)),IF(AU34&gt;=AW$2,IF(AU34&lt;AX$2,(((Volatilities_Resets!$I23-Volatilities_Resets!$G23)/50)*((Calculator!AU34-Calculator!AW$2)*10000)+Volatilities_Resets!$G23)),"Well, something broke...")))))))))))/10000</f>
        <v>1.5896E-2</v>
      </c>
      <c r="AX34" s="63">
        <f t="shared" ca="1" si="30"/>
        <v>17438.202240353949</v>
      </c>
      <c r="AY34" s="63">
        <f t="shared" ca="1" si="31"/>
        <v>7.0148334576613223E-4</v>
      </c>
      <c r="AZ34" s="63">
        <f t="shared" ca="1" si="46"/>
        <v>513300.39507888554</v>
      </c>
      <c r="BC34" s="63">
        <f t="shared" ca="1" si="8"/>
        <v>90.824043683498331</v>
      </c>
      <c r="BD34" s="63">
        <f ca="1">SUM($BC$15:BC34)</f>
        <v>946.2731666085748</v>
      </c>
      <c r="BF34" s="52">
        <f ca="1">EXP(-AVERAGE(AV$15:AV34)*AS34)</f>
        <v>0.91851490971743188</v>
      </c>
      <c r="BH34" s="52">
        <f t="shared" ca="1" si="32"/>
        <v>20</v>
      </c>
      <c r="BI34" s="71">
        <f t="shared" ca="1" si="33"/>
        <v>45769</v>
      </c>
      <c r="BJ34" s="71">
        <f t="shared" ca="1" si="9"/>
        <v>45799</v>
      </c>
      <c r="BK34" s="72">
        <f t="shared" ca="1" si="10"/>
        <v>30</v>
      </c>
      <c r="BL34" s="73">
        <f ca="1">SUM(BK$15:BK34)/360</f>
        <v>1.6888888888888889</v>
      </c>
      <c r="BM34" s="74">
        <f t="shared" si="11"/>
        <v>25000000</v>
      </c>
      <c r="BN34" s="59">
        <f t="shared" si="34"/>
        <v>0.05</v>
      </c>
      <c r="BO34" s="57">
        <f>Volatilities_Resets!$E23*0.01</f>
        <v>4.1688099999999999E-2</v>
      </c>
      <c r="BP34" s="61">
        <f>IF(BN34=BQ$11,Volatilities_Resets!$AA23,IF(BN34&gt;=BP$11,IF(BN34&lt;BQ$11,(((Volatilities_Resets!$AA23-Volatilities_Resets!$Y23)/50)*((Calculator!BN34-Calculator!BP$11)*10000)+Volatilities_Resets!$Y23)),IF(BN34&gt;=BP$10,IF(BN34&lt;BQ$10,(((Volatilities_Resets!$Y23-Volatilities_Resets!$W23)/50)*((Calculator!BN34-Calculator!BP$10)*10000)+Volatilities_Resets!$W23)),IF(BN34&gt;=BP$9,IF(BN34&lt;BQ$9,(((Volatilities_Resets!$W23-Volatilities_Resets!$U23)/50)*((Calculator!BN34-Calculator!BP$9)*10000)+Volatilities_Resets!$U23)),IF(BN34&gt;=BP$8,IF(BN34&lt;BQ$8,(((Volatilities_Resets!$U23-Volatilities_Resets!$S23)/50)*((Calculator!BN34-Calculator!BP$8)*10000)+Volatilities_Resets!$S23)),IF(BN34&gt;=BP$7,IF(BN34&lt;BQ$7,(((Volatilities_Resets!$S23-Volatilities_Resets!$Q23)/50)*((Calculator!BN34-Calculator!BP$7)*10000)+Volatilities_Resets!$Q23)),IF(BN34&gt;=BP$6,IF(BN34&lt;BQ$6,(((Volatilities_Resets!$Q23-Volatilities_Resets!$O23)/50)*((Calculator!BN34-Calculator!BP$6)*10000)+Volatilities_Resets!$O23)),IF(BN34&gt;=BP$5,IF(BN34&lt;BQ$5,(((Volatilities_Resets!$O23-Volatilities_Resets!$M23)/50)*((Calculator!BN34-Calculator!BP$5)*10000)+Volatilities_Resets!$M23)),IF(BN34&gt;=BP$4,IF(BN34&lt;BQ$4,(((Volatilities_Resets!$M23-Volatilities_Resets!$K23)/50)*((Calculator!BN34-Calculator!BP$4)*10000)+Volatilities_Resets!$K23)),IF(BN34&gt;=BP$3,IF(BN34&lt;BQ$3,(((Volatilities_Resets!$K23-Volatilities_Resets!$I23)/50)*((Calculator!BN34-Calculator!BP$3)*10000)+Volatilities_Resets!$I23)),IF(BN34&gt;=BP$2,IF(BN34&lt;BQ$2,(((Volatilities_Resets!$I23-Volatilities_Resets!$G23)/50)*((Calculator!BN34-Calculator!BP$2)*10000)+Volatilities_Resets!$G23)),"Well, something broke...")))))))))))/10000</f>
        <v>1.3969999999999998E-2</v>
      </c>
      <c r="BQ34" s="63">
        <f t="shared" ca="1" si="35"/>
        <v>7334.6206294334397</v>
      </c>
      <c r="BR34" s="63">
        <f t="shared" ca="1" si="36"/>
        <v>2.9696103855042733E-4</v>
      </c>
      <c r="BS34" s="63">
        <f t="shared" ca="1" si="47"/>
        <v>193824.90119625599</v>
      </c>
      <c r="BV34" s="63">
        <f t="shared" ca="1" si="37"/>
        <v>82.120132587844878</v>
      </c>
      <c r="BW34" s="63">
        <f ca="1">SUM($BV$15:BV34)</f>
        <v>1232.3392044284717</v>
      </c>
      <c r="BY34" s="52">
        <f ca="1">EXP(-AVERAGE(BO$15:BO34)*BL34)</f>
        <v>0.91851490971743188</v>
      </c>
      <c r="CA34" s="52">
        <f t="shared" ca="1" si="38"/>
        <v>20</v>
      </c>
      <c r="CB34" s="71">
        <f t="shared" ca="1" si="39"/>
        <v>45769</v>
      </c>
      <c r="CC34" s="71">
        <f t="shared" ca="1" si="12"/>
        <v>45799</v>
      </c>
      <c r="CD34" s="72">
        <f t="shared" ca="1" si="13"/>
        <v>30</v>
      </c>
      <c r="CE34" s="73">
        <f ca="1">SUM(CD$15:CD34)/360</f>
        <v>1.6888888888888889</v>
      </c>
      <c r="CF34" s="74">
        <f t="shared" si="14"/>
        <v>25000000</v>
      </c>
      <c r="CG34" s="59">
        <f t="shared" si="40"/>
        <v>0.06</v>
      </c>
      <c r="CH34" s="57">
        <f>Volatilities_Resets!$E23*0.01</f>
        <v>4.1688099999999999E-2</v>
      </c>
      <c r="CI34" s="61">
        <f>IF(CG34=CJ$11,Volatilities_Resets!$AA23,IF(CG34&gt;=CI$11,IF(CG34&lt;CJ$11,(((Volatilities_Resets!$AA23-Volatilities_Resets!$Y23)/50)*((Calculator!CG34-Calculator!CI$11)*10000)+Volatilities_Resets!$Y23)),IF(CG34&gt;=CI$10,IF(CG34&lt;CJ$10,(((Volatilities_Resets!$Y23-Volatilities_Resets!$W23)/50)*((Calculator!CG34-Calculator!CI$10)*10000)+Volatilities_Resets!$W23)),IF(CG34&gt;=CI$9,IF(CG34&lt;CJ$9,(((Volatilities_Resets!$W23-Volatilities_Resets!$U23)/50)*((Calculator!CG34-Calculator!CI$9)*10000)+Volatilities_Resets!$U23)),IF(CG34&gt;=CI$8,IF(CG34&lt;CJ$8,(((Volatilities_Resets!$U23-Volatilities_Resets!$S23)/50)*((Calculator!CG34-Calculator!CI$8)*10000)+Volatilities_Resets!$S23)),IF(CG34&gt;=CI$7,IF(CG34&lt;CJ$7,(((Volatilities_Resets!$S23-Volatilities_Resets!$Q23)/50)*((Calculator!CG34-Calculator!CI$7)*10000)+Volatilities_Resets!$Q23)),IF(CG34&gt;=CI$6,IF(CG34&lt;CJ$6,(((Volatilities_Resets!$Q23-Volatilities_Resets!$O23)/50)*((Calculator!CG34-Calculator!CI$6)*10000)+Volatilities_Resets!$O23)),IF(CG34&gt;=CI$5,IF(CG34&lt;CJ$5,(((Volatilities_Resets!$O23-Volatilities_Resets!$M23)/50)*((Calculator!CG34-Calculator!CI$5)*10000)+Volatilities_Resets!$M23)),IF(CG34&gt;=CI$4,IF(CG34&lt;CJ$4,(((Volatilities_Resets!$M23-Volatilities_Resets!$K23)/50)*((Calculator!CG34-Calculator!CI$4)*10000)+Volatilities_Resets!$K23)),IF(CG34&gt;=CI$3,IF(CG34&lt;CJ$3,(((Volatilities_Resets!$K23-Volatilities_Resets!$I23)/50)*((Calculator!CG34-Calculator!CI$3)*10000)+Volatilities_Resets!$I23)),IF(CG34&gt;=CI$2,IF(CG34&lt;CJ$2,(((Volatilities_Resets!$I23-Volatilities_Resets!$G23)/50)*((Calculator!CG34-Calculator!CI$2)*10000)+Volatilities_Resets!$G23)),"Well, something broke...")))))))))))/10000</f>
        <v>1.3430000000000001E-2</v>
      </c>
      <c r="CJ34" s="63">
        <f t="shared" ca="1" si="41"/>
        <v>2531.5144493534094</v>
      </c>
      <c r="CK34" s="63">
        <f t="shared" ca="1" si="42"/>
        <v>1.0355855082452365E-4</v>
      </c>
      <c r="CL34" s="63">
        <f t="shared" ca="1" si="48"/>
        <v>33922.158115646234</v>
      </c>
      <c r="CO34" s="63">
        <f t="shared" ca="1" si="43"/>
        <v>52.768058130164235</v>
      </c>
      <c r="CP34" s="63">
        <f ca="1">SUM($CO$15:CO34)</f>
        <v>781.20747208911951</v>
      </c>
      <c r="CR34" s="52">
        <f ca="1">EXP(-AVERAGE(CH$15:CH34)*CE34)</f>
        <v>0.91851490971743188</v>
      </c>
      <c r="CT34"/>
      <c r="CU34"/>
      <c r="CV34"/>
      <c r="CW34"/>
      <c r="CX34"/>
      <c r="CY34"/>
      <c r="CZ34"/>
      <c r="DA34"/>
      <c r="DB34"/>
      <c r="DC34"/>
      <c r="DD34"/>
      <c r="DE34"/>
      <c r="DF34"/>
      <c r="DG34"/>
      <c r="DH34"/>
      <c r="DI34"/>
      <c r="DJ34"/>
      <c r="DK34"/>
      <c r="DL34"/>
    </row>
    <row r="35" spans="2:116" ht="15.75" customHeight="1" x14ac:dyDescent="0.2">
      <c r="B35" s="52">
        <v>2</v>
      </c>
      <c r="C35" s="52">
        <f t="shared" ca="1" si="15"/>
        <v>21</v>
      </c>
      <c r="D35" s="71">
        <f t="shared" ca="1" si="16"/>
        <v>45799</v>
      </c>
      <c r="E35" s="71">
        <f t="shared" ca="1" si="0"/>
        <v>45830</v>
      </c>
      <c r="F35" s="72">
        <f t="shared" ca="1" si="1"/>
        <v>31</v>
      </c>
      <c r="G35" s="73">
        <f ca="1">SUM($F$15:F35)/360</f>
        <v>1.7749999999999999</v>
      </c>
      <c r="H35" s="74">
        <f t="shared" si="2"/>
        <v>25000000</v>
      </c>
      <c r="I35" s="59">
        <f>IF('Cap Pricer'!$E$22=DataValidation!$C$2,'Cap Pricer'!$E$23,IF('Cap Pricer'!$E$22=DataValidation!$C$3,VLOOKUP($B35,'Cap Pricer'!$C$25:$E$31,3),""))</f>
        <v>0.02</v>
      </c>
      <c r="J35" s="57">
        <f>Volatilities_Resets!$E24*0.01</f>
        <v>4.16833E-2</v>
      </c>
      <c r="K35" s="61">
        <f>IF(I35=L$11,Volatilities_Resets!$AA24,IF(I35&gt;=K$11,IF(I35&lt;L$11,(((Volatilities_Resets!$AA24-Volatilities_Resets!$Y24)/50)*((Calculator!I35-Calculator!K$11)*10000)+Volatilities_Resets!$Y24)),IF(I35&gt;=K$10,IF(I35&lt;L$10,(((Volatilities_Resets!$Y24-Volatilities_Resets!$W24)/50)*((Calculator!I35-Calculator!K$10)*10000)+Volatilities_Resets!$W24)),IF(I35&gt;=K$9,IF(I35&lt;L$9,(((Volatilities_Resets!$W24-Volatilities_Resets!$U24)/50)*((Calculator!I35-Calculator!K$9)*10000)+Volatilities_Resets!$U24)),IF(I35&gt;=K$8,IF(I35&lt;L$8,(((Volatilities_Resets!$U24-Volatilities_Resets!$S24)/50)*((Calculator!I35-Calculator!K$8)*10000)+Volatilities_Resets!$S24)),IF(I35&gt;=K$7,IF(I35&lt;L$7,(((Volatilities_Resets!$S24-Volatilities_Resets!$Q24)/50)*((Calculator!I35-Calculator!K$7)*10000)+Volatilities_Resets!$Q24)),IF(I35&gt;=K$6,IF(I35&lt;L$6,(((Volatilities_Resets!$Q24-Volatilities_Resets!$O24)/50)*((Calculator!I35-Calculator!K$6)*10000)+Volatilities_Resets!$O24)),IF(I35&gt;=K$5,IF(I35&lt;L$5,(((Volatilities_Resets!$O24-Volatilities_Resets!$M24)/50)*((Calculator!I35-Calculator!K$5)*10000)+Volatilities_Resets!$M24)),IF(I35&gt;=K$4,IF(I35&lt;L$4,(((Volatilities_Resets!$M24-Volatilities_Resets!$K24)/50)*((Calculator!I35-Calculator!K$4)*10000)+Volatilities_Resets!$K24)),IF(I35&gt;=K$3,IF(I35&lt;L$3,(((Volatilities_Resets!$K24-Volatilities_Resets!$I24)/50)*((Calculator!I35-Calculator!K$3)*10000)+Volatilities_Resets!$I24)),IF(I35&gt;=K$2,IF(I35&lt;L$2,(((Volatilities_Resets!$I24-Volatilities_Resets!$G24)/50)*((Calculator!I35-Calculator!K$2)*10000)+Volatilities_Resets!$G24)),"Well, something broke...")))))))))))/10000</f>
        <v>2.1215999999999999E-2</v>
      </c>
      <c r="L35" s="47">
        <f t="shared" ca="1" si="17"/>
        <v>49812.625020934523</v>
      </c>
      <c r="M35" s="63">
        <f t="shared" ca="1" si="18"/>
        <v>1.9956303928830351E-3</v>
      </c>
      <c r="N35" s="63">
        <f t="shared" ca="1" si="44"/>
        <v>1313936.2953511935</v>
      </c>
      <c r="Q35" s="63">
        <f t="shared" ca="1" si="19"/>
        <v>71.50985677403807</v>
      </c>
      <c r="R35" s="63">
        <f ca="1">SUM($Q$15:Q35)</f>
        <v>594.02123520876944</v>
      </c>
      <c r="T35" s="52">
        <f ca="1">EXP(-AVERAGE(J$15:J35)*G35)</f>
        <v>0.9152113492253805</v>
      </c>
      <c r="U35" s="57"/>
      <c r="V35" s="52">
        <f t="shared" ca="1" si="20"/>
        <v>21</v>
      </c>
      <c r="W35" s="71">
        <f t="shared" ca="1" si="21"/>
        <v>45799</v>
      </c>
      <c r="X35" s="71">
        <f t="shared" ca="1" si="3"/>
        <v>45830</v>
      </c>
      <c r="Y35" s="72">
        <f t="shared" ca="1" si="4"/>
        <v>31</v>
      </c>
      <c r="Z35" s="73">
        <f ca="1">SUM(Y$15:Y35)/360</f>
        <v>1.7749999999999999</v>
      </c>
      <c r="AA35" s="74">
        <f t="shared" si="22"/>
        <v>25000000</v>
      </c>
      <c r="AB35" s="59">
        <f t="shared" si="23"/>
        <v>0.03</v>
      </c>
      <c r="AC35" s="57">
        <f>Volatilities_Resets!$E24*0.01</f>
        <v>4.16833E-2</v>
      </c>
      <c r="AD35" s="61">
        <f>IF(AB35=AE$11,Volatilities_Resets!$AA24,IF(AB35&gt;=AD$11,IF(AB35&lt;AE$11,(((Volatilities_Resets!$AA24-Volatilities_Resets!$Y24)/50)*((Calculator!AB35-Calculator!AD$11)*10000)+Volatilities_Resets!$Y24)),IF(AB35&gt;=AD$10,IF(AB35&lt;AE$10,(((Volatilities_Resets!$Y24-Volatilities_Resets!$W24)/50)*((Calculator!AB35-Calculator!AD$10)*10000)+Volatilities_Resets!$W24)),IF(AB35&gt;=AD$9,IF(AB35&lt;AE$9,(((Volatilities_Resets!$W24-Volatilities_Resets!$U24)/50)*((Calculator!AB35-Calculator!AD$9)*10000)+Volatilities_Resets!$U24)),IF(AB35&gt;=AD$8,IF(AB35&lt;AE$8,(((Volatilities_Resets!$U24-Volatilities_Resets!$S24)/50)*((Calculator!AB35-Calculator!AD$8)*10000)+Volatilities_Resets!$S24)),IF(AB35&gt;=AD$7,IF(AB35&lt;AE$7,(((Volatilities_Resets!$S24-Volatilities_Resets!$Q24)/50)*((Calculator!AB35-Calculator!AD$7)*10000)+Volatilities_Resets!$Q24)),IF(AB35&gt;=AD$6,IF(AB35&lt;AE$6,(((Volatilities_Resets!$Q24-Volatilities_Resets!$O24)/50)*((Calculator!AB35-Calculator!AD$6)*10000)+Volatilities_Resets!$O24)),IF(AB35&gt;=AD$5,IF(AB35&lt;AE$5,(((Volatilities_Resets!$O24-Volatilities_Resets!$M24)/50)*((Calculator!AB35-Calculator!AD$5)*10000)+Volatilities_Resets!$M24)),IF(AB35&gt;=AD$4,IF(AB35&lt;AE$4,(((Volatilities_Resets!$M24-Volatilities_Resets!$K24)/50)*((Calculator!AB35-Calculator!AD$4)*10000)+Volatilities_Resets!$K24)),IF(AB35&gt;=AD$3,IF(AB35&lt;AE$3,(((Volatilities_Resets!$K24-Volatilities_Resets!$I24)/50)*((Calculator!AB35-Calculator!AD$3)*10000)+Volatilities_Resets!$I24)),IF(AB35&gt;=AD$2,IF(AB35&lt;AE$2,(((Volatilities_Resets!$I24-Volatilities_Resets!$G24)/50)*((Calculator!AB35-Calculator!AD$2)*10000)+Volatilities_Resets!$G24)),"Well, something broke...")))))))))))/10000</f>
        <v>1.8790000000000001E-2</v>
      </c>
      <c r="AE35" s="63">
        <f t="shared" ca="1" si="24"/>
        <v>33291.243037666682</v>
      </c>
      <c r="AF35" s="63">
        <f t="shared" ca="1" si="25"/>
        <v>1.3354084698943909E-3</v>
      </c>
      <c r="AG35" s="63">
        <f t="shared" ca="1" si="45"/>
        <v>915523.30659149424</v>
      </c>
      <c r="AJ35" s="63">
        <f t="shared" ca="1" si="26"/>
        <v>86.001229583183914</v>
      </c>
      <c r="AK35" s="63">
        <f ca="1">SUM($AJ$15:AJ35)</f>
        <v>801.81098020943739</v>
      </c>
      <c r="AM35" s="52">
        <f ca="1">EXP(-AVERAGE(AC$15:AC35)*Z35)</f>
        <v>0.9152113492253805</v>
      </c>
      <c r="AO35" s="52">
        <f t="shared" ca="1" si="27"/>
        <v>21</v>
      </c>
      <c r="AP35" s="71">
        <f t="shared" ca="1" si="28"/>
        <v>45799</v>
      </c>
      <c r="AQ35" s="71">
        <f t="shared" ca="1" si="5"/>
        <v>45830</v>
      </c>
      <c r="AR35" s="72">
        <f t="shared" ca="1" si="6"/>
        <v>31</v>
      </c>
      <c r="AS35" s="73">
        <f ca="1">SUM(AR$15:AR35)/360</f>
        <v>1.7749999999999999</v>
      </c>
      <c r="AT35" s="74">
        <f t="shared" si="7"/>
        <v>25000000</v>
      </c>
      <c r="AU35" s="59">
        <f t="shared" si="29"/>
        <v>0.04</v>
      </c>
      <c r="AV35" s="57">
        <f>Volatilities_Resets!$E24*0.01</f>
        <v>4.16833E-2</v>
      </c>
      <c r="AW35" s="61">
        <f>IF(AU35=AX$11,Volatilities_Resets!$AA24,IF(AU35&gt;=AW$11,IF(AU35&lt;AX$11,(((Volatilities_Resets!$AA24-Volatilities_Resets!$Y24)/50)*((Calculator!AU35-Calculator!AW$11)*10000)+Volatilities_Resets!$Y24)),IF(AU35&gt;=AW$10,IF(AU35&lt;AX$10,(((Volatilities_Resets!$Y24-Volatilities_Resets!$W24)/50)*((Calculator!AU35-Calculator!AW$10)*10000)+Volatilities_Resets!$W24)),IF(AU35&gt;=AW$9,IF(AU35&lt;AX$9,(((Volatilities_Resets!$W24-Volatilities_Resets!$U24)/50)*((Calculator!AU35-Calculator!AW$9)*10000)+Volatilities_Resets!$U24)),IF(AU35&gt;=AW$8,IF(AU35&lt;AX$8,(((Volatilities_Resets!$U24-Volatilities_Resets!$S24)/50)*((Calculator!AU35-Calculator!AW$8)*10000)+Volatilities_Resets!$S24)),IF(AU35&gt;=AW$7,IF(AU35&lt;AX$7,(((Volatilities_Resets!$S24-Volatilities_Resets!$Q24)/50)*((Calculator!AU35-Calculator!AW$7)*10000)+Volatilities_Resets!$Q24)),IF(AU35&gt;=AW$6,IF(AU35&lt;AX$6,(((Volatilities_Resets!$Q24-Volatilities_Resets!$O24)/50)*((Calculator!AU35-Calculator!AW$6)*10000)+Volatilities_Resets!$O24)),IF(AU35&gt;=AW$5,IF(AU35&lt;AX$5,(((Volatilities_Resets!$O24-Volatilities_Resets!$M24)/50)*((Calculator!AU35-Calculator!AW$5)*10000)+Volatilities_Resets!$M24)),IF(AU35&gt;=AW$4,IF(AU35&lt;AX$4,(((Volatilities_Resets!$M24-Volatilities_Resets!$K24)/50)*((Calculator!AU35-Calculator!AW$4)*10000)+Volatilities_Resets!$K24)),IF(AU35&gt;=AW$3,IF(AU35&lt;AX$3,(((Volatilities_Resets!$K24-Volatilities_Resets!$I24)/50)*((Calculator!AU35-Calculator!AW$3)*10000)+Volatilities_Resets!$I24)),IF(AU35&gt;=AW$2,IF(AU35&lt;AX$2,(((Volatilities_Resets!$I24-Volatilities_Resets!$G24)/50)*((Calculator!AU35-Calculator!AW$2)*10000)+Volatilities_Resets!$G24)),"Well, something broke...")))))))))))/10000</f>
        <v>1.5893000000000001E-2</v>
      </c>
      <c r="AX35" s="63">
        <f t="shared" ca="1" si="30"/>
        <v>18353.979928572579</v>
      </c>
      <c r="AY35" s="63">
        <f t="shared" ca="1" si="31"/>
        <v>7.383348660737251E-4</v>
      </c>
      <c r="AZ35" s="63">
        <f t="shared" ca="1" si="46"/>
        <v>531654.37500745815</v>
      </c>
      <c r="BC35" s="63">
        <f t="shared" ca="1" si="8"/>
        <v>95.540489902402825</v>
      </c>
      <c r="BD35" s="63">
        <f ca="1">SUM($BC$15:BC35)</f>
        <v>1041.8136565109776</v>
      </c>
      <c r="BF35" s="52">
        <f ca="1">EXP(-AVERAGE(AV$15:AV35)*AS35)</f>
        <v>0.9152113492253805</v>
      </c>
      <c r="BH35" s="52">
        <f t="shared" ca="1" si="32"/>
        <v>21</v>
      </c>
      <c r="BI35" s="71">
        <f t="shared" ca="1" si="33"/>
        <v>45799</v>
      </c>
      <c r="BJ35" s="71">
        <f t="shared" ca="1" si="9"/>
        <v>45830</v>
      </c>
      <c r="BK35" s="72">
        <f t="shared" ca="1" si="10"/>
        <v>31</v>
      </c>
      <c r="BL35" s="73">
        <f ca="1">SUM(BK$15:BK35)/360</f>
        <v>1.7749999999999999</v>
      </c>
      <c r="BM35" s="74">
        <f t="shared" si="11"/>
        <v>25000000</v>
      </c>
      <c r="BN35" s="59">
        <f t="shared" si="34"/>
        <v>0.05</v>
      </c>
      <c r="BO35" s="57">
        <f>Volatilities_Resets!$E24*0.01</f>
        <v>4.16833E-2</v>
      </c>
      <c r="BP35" s="61">
        <f>IF(BN35=BQ$11,Volatilities_Resets!$AA24,IF(BN35&gt;=BP$11,IF(BN35&lt;BQ$11,(((Volatilities_Resets!$AA24-Volatilities_Resets!$Y24)/50)*((Calculator!BN35-Calculator!BP$11)*10000)+Volatilities_Resets!$Y24)),IF(BN35&gt;=BP$10,IF(BN35&lt;BQ$10,(((Volatilities_Resets!$Y24-Volatilities_Resets!$W24)/50)*((Calculator!BN35-Calculator!BP$10)*10000)+Volatilities_Resets!$W24)),IF(BN35&gt;=BP$9,IF(BN35&lt;BQ$9,(((Volatilities_Resets!$W24-Volatilities_Resets!$U24)/50)*((Calculator!BN35-Calculator!BP$9)*10000)+Volatilities_Resets!$U24)),IF(BN35&gt;=BP$8,IF(BN35&lt;BQ$8,(((Volatilities_Resets!$U24-Volatilities_Resets!$S24)/50)*((Calculator!BN35-Calculator!BP$8)*10000)+Volatilities_Resets!$S24)),IF(BN35&gt;=BP$7,IF(BN35&lt;BQ$7,(((Volatilities_Resets!$S24-Volatilities_Resets!$Q24)/50)*((Calculator!BN35-Calculator!BP$7)*10000)+Volatilities_Resets!$Q24)),IF(BN35&gt;=BP$6,IF(BN35&lt;BQ$6,(((Volatilities_Resets!$Q24-Volatilities_Resets!$O24)/50)*((Calculator!BN35-Calculator!BP$6)*10000)+Volatilities_Resets!$O24)),IF(BN35&gt;=BP$5,IF(BN35&lt;BQ$5,(((Volatilities_Resets!$O24-Volatilities_Resets!$M24)/50)*((Calculator!BN35-Calculator!BP$5)*10000)+Volatilities_Resets!$M24)),IF(BN35&gt;=BP$4,IF(BN35&lt;BQ$4,(((Volatilities_Resets!$M24-Volatilities_Resets!$K24)/50)*((Calculator!BN35-Calculator!BP$4)*10000)+Volatilities_Resets!$K24)),IF(BN35&gt;=BP$3,IF(BN35&lt;BQ$3,(((Volatilities_Resets!$K24-Volatilities_Resets!$I24)/50)*((Calculator!BN35-Calculator!BP$3)*10000)+Volatilities_Resets!$I24)),IF(BN35&gt;=BP$2,IF(BN35&lt;BQ$2,(((Volatilities_Resets!$I24-Volatilities_Resets!$G24)/50)*((Calculator!BN35-Calculator!BP$2)*10000)+Volatilities_Resets!$G24)),"Well, something broke...")))))))))))/10000</f>
        <v>1.3972E-2</v>
      </c>
      <c r="BQ35" s="63">
        <f t="shared" ca="1" si="35"/>
        <v>7875.0051395819009</v>
      </c>
      <c r="BR35" s="63">
        <f t="shared" ca="1" si="36"/>
        <v>3.1879381582040705E-4</v>
      </c>
      <c r="BS35" s="63">
        <f t="shared" ca="1" si="47"/>
        <v>201699.90633583788</v>
      </c>
      <c r="BV35" s="63">
        <f t="shared" ca="1" si="37"/>
        <v>86.798878588996757</v>
      </c>
      <c r="BW35" s="63">
        <f ca="1">SUM($BV$15:BV35)</f>
        <v>1319.1380830174685</v>
      </c>
      <c r="BY35" s="52">
        <f ca="1">EXP(-AVERAGE(BO$15:BO35)*BL35)</f>
        <v>0.9152113492253805</v>
      </c>
      <c r="CA35" s="52">
        <f t="shared" ca="1" si="38"/>
        <v>21</v>
      </c>
      <c r="CB35" s="71">
        <f t="shared" ca="1" si="39"/>
        <v>45799</v>
      </c>
      <c r="CC35" s="71">
        <f t="shared" ca="1" si="12"/>
        <v>45830</v>
      </c>
      <c r="CD35" s="72">
        <f t="shared" ca="1" si="13"/>
        <v>31</v>
      </c>
      <c r="CE35" s="73">
        <f ca="1">SUM(CD$15:CD35)/360</f>
        <v>1.7749999999999999</v>
      </c>
      <c r="CF35" s="74">
        <f t="shared" si="14"/>
        <v>25000000</v>
      </c>
      <c r="CG35" s="59">
        <f t="shared" si="40"/>
        <v>0.06</v>
      </c>
      <c r="CH35" s="57">
        <f>Volatilities_Resets!$E24*0.01</f>
        <v>4.16833E-2</v>
      </c>
      <c r="CI35" s="61">
        <f>IF(CG35=CJ$11,Volatilities_Resets!$AA24,IF(CG35&gt;=CI$11,IF(CG35&lt;CJ$11,(((Volatilities_Resets!$AA24-Volatilities_Resets!$Y24)/50)*((Calculator!CG35-Calculator!CI$11)*10000)+Volatilities_Resets!$Y24)),IF(CG35&gt;=CI$10,IF(CG35&lt;CJ$10,(((Volatilities_Resets!$Y24-Volatilities_Resets!$W24)/50)*((Calculator!CG35-Calculator!CI$10)*10000)+Volatilities_Resets!$W24)),IF(CG35&gt;=CI$9,IF(CG35&lt;CJ$9,(((Volatilities_Resets!$W24-Volatilities_Resets!$U24)/50)*((Calculator!CG35-Calculator!CI$9)*10000)+Volatilities_Resets!$U24)),IF(CG35&gt;=CI$8,IF(CG35&lt;CJ$8,(((Volatilities_Resets!$U24-Volatilities_Resets!$S24)/50)*((Calculator!CG35-Calculator!CI$8)*10000)+Volatilities_Resets!$S24)),IF(CG35&gt;=CI$7,IF(CG35&lt;CJ$7,(((Volatilities_Resets!$S24-Volatilities_Resets!$Q24)/50)*((Calculator!CG35-Calculator!CI$7)*10000)+Volatilities_Resets!$Q24)),IF(CG35&gt;=CI$6,IF(CG35&lt;CJ$6,(((Volatilities_Resets!$Q24-Volatilities_Resets!$O24)/50)*((Calculator!CG35-Calculator!CI$6)*10000)+Volatilities_Resets!$O24)),IF(CG35&gt;=CI$5,IF(CG35&lt;CJ$5,(((Volatilities_Resets!$O24-Volatilities_Resets!$M24)/50)*((Calculator!CG35-Calculator!CI$5)*10000)+Volatilities_Resets!$M24)),IF(CG35&gt;=CI$4,IF(CG35&lt;CJ$4,(((Volatilities_Resets!$M24-Volatilities_Resets!$K24)/50)*((Calculator!CG35-Calculator!CI$4)*10000)+Volatilities_Resets!$K24)),IF(CG35&gt;=CI$3,IF(CG35&lt;CJ$3,(((Volatilities_Resets!$K24-Volatilities_Resets!$I24)/50)*((Calculator!CG35-Calculator!CI$3)*10000)+Volatilities_Resets!$I24)),IF(CG35&gt;=CI$2,IF(CG35&lt;CJ$2,(((Volatilities_Resets!$I24-Volatilities_Resets!$G24)/50)*((Calculator!CG35-Calculator!CI$2)*10000)+Volatilities_Resets!$G24)),"Well, something broke...")))))))))))/10000</f>
        <v>1.3438E-2</v>
      </c>
      <c r="CJ35" s="63">
        <f t="shared" ca="1" si="41"/>
        <v>2811.910141439198</v>
      </c>
      <c r="CK35" s="63">
        <f t="shared" ca="1" si="42"/>
        <v>1.1496801175916272E-4</v>
      </c>
      <c r="CL35" s="63">
        <f t="shared" ca="1" si="48"/>
        <v>36734.068257085433</v>
      </c>
      <c r="CO35" s="63">
        <f t="shared" ca="1" si="43"/>
        <v>57.008654549469263</v>
      </c>
      <c r="CP35" s="63">
        <f ca="1">SUM($CO$15:CO35)</f>
        <v>838.21612663858878</v>
      </c>
      <c r="CR35" s="52">
        <f ca="1">EXP(-AVERAGE(CH$15:CH35)*CE35)</f>
        <v>0.9152113492253805</v>
      </c>
      <c r="CT35"/>
      <c r="CU35"/>
      <c r="CV35"/>
      <c r="CW35"/>
      <c r="CX35"/>
      <c r="CY35"/>
      <c r="CZ35"/>
      <c r="DA35"/>
      <c r="DB35"/>
      <c r="DC35"/>
      <c r="DD35"/>
      <c r="DE35"/>
      <c r="DF35"/>
      <c r="DG35"/>
      <c r="DH35"/>
      <c r="DI35"/>
      <c r="DJ35"/>
      <c r="DK35"/>
      <c r="DL35"/>
    </row>
    <row r="36" spans="2:116" ht="15.75" customHeight="1" x14ac:dyDescent="0.2">
      <c r="B36" s="52">
        <v>2</v>
      </c>
      <c r="C36" s="52">
        <f t="shared" ca="1" si="15"/>
        <v>22</v>
      </c>
      <c r="D36" s="71">
        <f t="shared" ca="1" si="16"/>
        <v>45830</v>
      </c>
      <c r="E36" s="71">
        <f t="shared" ca="1" si="0"/>
        <v>45860</v>
      </c>
      <c r="F36" s="72">
        <f t="shared" ca="1" si="1"/>
        <v>30</v>
      </c>
      <c r="G36" s="73">
        <f ca="1">SUM($F$15:F36)/360</f>
        <v>1.8583333333333334</v>
      </c>
      <c r="H36" s="74">
        <f t="shared" si="2"/>
        <v>25000000</v>
      </c>
      <c r="I36" s="59">
        <f>IF('Cap Pricer'!$E$22=DataValidation!$C$2,'Cap Pricer'!$E$23,IF('Cap Pricer'!$E$22=DataValidation!$C$3,VLOOKUP($B36,'Cap Pricer'!$C$25:$E$31,3),""))</f>
        <v>0.02</v>
      </c>
      <c r="J36" s="57">
        <f>Volatilities_Resets!$E25*0.01</f>
        <v>4.1680900000000007E-2</v>
      </c>
      <c r="K36" s="61">
        <f>IF(I36=L$11,Volatilities_Resets!$AA25,IF(I36&gt;=K$11,IF(I36&lt;L$11,(((Volatilities_Resets!$AA25-Volatilities_Resets!$Y25)/50)*((Calculator!I36-Calculator!K$11)*10000)+Volatilities_Resets!$Y25)),IF(I36&gt;=K$10,IF(I36&lt;L$10,(((Volatilities_Resets!$Y25-Volatilities_Resets!$W25)/50)*((Calculator!I36-Calculator!K$10)*10000)+Volatilities_Resets!$W25)),IF(I36&gt;=K$9,IF(I36&lt;L$9,(((Volatilities_Resets!$W25-Volatilities_Resets!$U25)/50)*((Calculator!I36-Calculator!K$9)*10000)+Volatilities_Resets!$U25)),IF(I36&gt;=K$8,IF(I36&lt;L$8,(((Volatilities_Resets!$U25-Volatilities_Resets!$S25)/50)*((Calculator!I36-Calculator!K$8)*10000)+Volatilities_Resets!$S25)),IF(I36&gt;=K$7,IF(I36&lt;L$7,(((Volatilities_Resets!$S25-Volatilities_Resets!$Q25)/50)*((Calculator!I36-Calculator!K$7)*10000)+Volatilities_Resets!$Q25)),IF(I36&gt;=K$6,IF(I36&lt;L$6,(((Volatilities_Resets!$Q25-Volatilities_Resets!$O25)/50)*((Calculator!I36-Calculator!K$6)*10000)+Volatilities_Resets!$O25)),IF(I36&gt;=K$5,IF(I36&lt;L$5,(((Volatilities_Resets!$O25-Volatilities_Resets!$M25)/50)*((Calculator!I36-Calculator!K$5)*10000)+Volatilities_Resets!$M25)),IF(I36&gt;=K$4,IF(I36&lt;L$4,(((Volatilities_Resets!$M25-Volatilities_Resets!$K25)/50)*((Calculator!I36-Calculator!K$4)*10000)+Volatilities_Resets!$K25)),IF(I36&gt;=K$3,IF(I36&lt;L$3,(((Volatilities_Resets!$K25-Volatilities_Resets!$I25)/50)*((Calculator!I36-Calculator!K$3)*10000)+Volatilities_Resets!$I25)),IF(I36&gt;=K$2,IF(I36&lt;L$2,(((Volatilities_Resets!$I25-Volatilities_Resets!$G25)/50)*((Calculator!I36-Calculator!K$2)*10000)+Volatilities_Resets!$G25)),"Well, something broke...")))))))))))/10000</f>
        <v>2.1215000000000001E-2</v>
      </c>
      <c r="L36" s="47">
        <f t="shared" ca="1" si="17"/>
        <v>48407.706649983389</v>
      </c>
      <c r="M36" s="63">
        <f t="shared" ca="1" si="18"/>
        <v>1.9394332019098414E-3</v>
      </c>
      <c r="N36" s="63">
        <f t="shared" ca="1" si="44"/>
        <v>1362344.0020011768</v>
      </c>
      <c r="Q36" s="63">
        <f t="shared" ca="1" si="19"/>
        <v>71.252171146260864</v>
      </c>
      <c r="R36" s="63">
        <f ca="1">SUM($Q$15:Q36)</f>
        <v>665.27340635503026</v>
      </c>
      <c r="T36" s="52">
        <f ca="1">EXP(-AVERAGE(J$15:J36)*G36)</f>
        <v>0.91204649550363881</v>
      </c>
      <c r="U36" s="57"/>
      <c r="V36" s="52">
        <f t="shared" ca="1" si="20"/>
        <v>22</v>
      </c>
      <c r="W36" s="71">
        <f t="shared" ca="1" si="21"/>
        <v>45830</v>
      </c>
      <c r="X36" s="71">
        <f t="shared" ca="1" si="3"/>
        <v>45860</v>
      </c>
      <c r="Y36" s="72">
        <f t="shared" ca="1" si="4"/>
        <v>30</v>
      </c>
      <c r="Z36" s="73">
        <f ca="1">SUM(Y$15:Y36)/360</f>
        <v>1.8583333333333334</v>
      </c>
      <c r="AA36" s="74">
        <f t="shared" si="22"/>
        <v>25000000</v>
      </c>
      <c r="AB36" s="59">
        <f t="shared" si="23"/>
        <v>0.03</v>
      </c>
      <c r="AC36" s="57">
        <f>Volatilities_Resets!$E25*0.01</f>
        <v>4.1680900000000007E-2</v>
      </c>
      <c r="AD36" s="61">
        <f>IF(AB36=AE$11,Volatilities_Resets!$AA25,IF(AB36&gt;=AD$11,IF(AB36&lt;AE$11,(((Volatilities_Resets!$AA25-Volatilities_Resets!$Y25)/50)*((Calculator!AB36-Calculator!AD$11)*10000)+Volatilities_Resets!$Y25)),IF(AB36&gt;=AD$10,IF(AB36&lt;AE$10,(((Volatilities_Resets!$Y25-Volatilities_Resets!$W25)/50)*((Calculator!AB36-Calculator!AD$10)*10000)+Volatilities_Resets!$W25)),IF(AB36&gt;=AD$9,IF(AB36&lt;AE$9,(((Volatilities_Resets!$W25-Volatilities_Resets!$U25)/50)*((Calculator!AB36-Calculator!AD$9)*10000)+Volatilities_Resets!$U25)),IF(AB36&gt;=AD$8,IF(AB36&lt;AE$8,(((Volatilities_Resets!$U25-Volatilities_Resets!$S25)/50)*((Calculator!AB36-Calculator!AD$8)*10000)+Volatilities_Resets!$S25)),IF(AB36&gt;=AD$7,IF(AB36&lt;AE$7,(((Volatilities_Resets!$S25-Volatilities_Resets!$Q25)/50)*((Calculator!AB36-Calculator!AD$7)*10000)+Volatilities_Resets!$Q25)),IF(AB36&gt;=AD$6,IF(AB36&lt;AE$6,(((Volatilities_Resets!$Q25-Volatilities_Resets!$O25)/50)*((Calculator!AB36-Calculator!AD$6)*10000)+Volatilities_Resets!$O25)),IF(AB36&gt;=AD$5,IF(AB36&lt;AE$5,(((Volatilities_Resets!$O25-Volatilities_Resets!$M25)/50)*((Calculator!AB36-Calculator!AD$5)*10000)+Volatilities_Resets!$M25)),IF(AB36&gt;=AD$4,IF(AB36&lt;AE$4,(((Volatilities_Resets!$M25-Volatilities_Resets!$K25)/50)*((Calculator!AB36-Calculator!AD$4)*10000)+Volatilities_Resets!$K25)),IF(AB36&gt;=AD$3,IF(AB36&lt;AE$3,(((Volatilities_Resets!$K25-Volatilities_Resets!$I25)/50)*((Calculator!AB36-Calculator!AD$3)*10000)+Volatilities_Resets!$I25)),IF(AB36&gt;=AD$2,IF(AB36&lt;AE$2,(((Volatilities_Resets!$I25-Volatilities_Resets!$G25)/50)*((Calculator!AB36-Calculator!AD$2)*10000)+Volatilities_Resets!$G25)),"Well, something broke...")))))))))))/10000</f>
        <v>1.8787000000000002E-2</v>
      </c>
      <c r="AE36" s="63">
        <f t="shared" ca="1" si="24"/>
        <v>32495.931154390069</v>
      </c>
      <c r="AF36" s="63">
        <f t="shared" ca="1" si="25"/>
        <v>1.3035643791699122E-3</v>
      </c>
      <c r="AG36" s="63">
        <f t="shared" ca="1" si="45"/>
        <v>948019.23774588434</v>
      </c>
      <c r="AJ36" s="63">
        <f t="shared" ca="1" si="26"/>
        <v>84.982964643396485</v>
      </c>
      <c r="AK36" s="63">
        <f ca="1">SUM($AJ$15:AJ36)</f>
        <v>886.79394485283387</v>
      </c>
      <c r="AM36" s="52">
        <f ca="1">EXP(-AVERAGE(AC$15:AC36)*Z36)</f>
        <v>0.91204649550363881</v>
      </c>
      <c r="AO36" s="52">
        <f t="shared" ca="1" si="27"/>
        <v>22</v>
      </c>
      <c r="AP36" s="71">
        <f t="shared" ca="1" si="28"/>
        <v>45830</v>
      </c>
      <c r="AQ36" s="71">
        <f t="shared" ca="1" si="5"/>
        <v>45860</v>
      </c>
      <c r="AR36" s="72">
        <f t="shared" ca="1" si="6"/>
        <v>30</v>
      </c>
      <c r="AS36" s="73">
        <f ca="1">SUM(AR$15:AR36)/360</f>
        <v>1.8583333333333334</v>
      </c>
      <c r="AT36" s="74">
        <f t="shared" si="7"/>
        <v>25000000</v>
      </c>
      <c r="AU36" s="59">
        <f t="shared" si="29"/>
        <v>0.04</v>
      </c>
      <c r="AV36" s="57">
        <f>Volatilities_Resets!$E25*0.01</f>
        <v>4.1680900000000007E-2</v>
      </c>
      <c r="AW36" s="61">
        <f>IF(AU36=AX$11,Volatilities_Resets!$AA25,IF(AU36&gt;=AW$11,IF(AU36&lt;AX$11,(((Volatilities_Resets!$AA25-Volatilities_Resets!$Y25)/50)*((Calculator!AU36-Calculator!AW$11)*10000)+Volatilities_Resets!$Y25)),IF(AU36&gt;=AW$10,IF(AU36&lt;AX$10,(((Volatilities_Resets!$Y25-Volatilities_Resets!$W25)/50)*((Calculator!AU36-Calculator!AW$10)*10000)+Volatilities_Resets!$W25)),IF(AU36&gt;=AW$9,IF(AU36&lt;AX$9,(((Volatilities_Resets!$W25-Volatilities_Resets!$U25)/50)*((Calculator!AU36-Calculator!AW$9)*10000)+Volatilities_Resets!$U25)),IF(AU36&gt;=AW$8,IF(AU36&lt;AX$8,(((Volatilities_Resets!$U25-Volatilities_Resets!$S25)/50)*((Calculator!AU36-Calculator!AW$8)*10000)+Volatilities_Resets!$S25)),IF(AU36&gt;=AW$7,IF(AU36&lt;AX$7,(((Volatilities_Resets!$S25-Volatilities_Resets!$Q25)/50)*((Calculator!AU36-Calculator!AW$7)*10000)+Volatilities_Resets!$Q25)),IF(AU36&gt;=AW$6,IF(AU36&lt;AX$6,(((Volatilities_Resets!$Q25-Volatilities_Resets!$O25)/50)*((Calculator!AU36-Calculator!AW$6)*10000)+Volatilities_Resets!$O25)),IF(AU36&gt;=AW$5,IF(AU36&lt;AX$5,(((Volatilities_Resets!$O25-Volatilities_Resets!$M25)/50)*((Calculator!AU36-Calculator!AW$5)*10000)+Volatilities_Resets!$M25)),IF(AU36&gt;=AW$4,IF(AU36&lt;AX$4,(((Volatilities_Resets!$M25-Volatilities_Resets!$K25)/50)*((Calculator!AU36-Calculator!AW$4)*10000)+Volatilities_Resets!$K25)),IF(AU36&gt;=AW$3,IF(AU36&lt;AX$3,(((Volatilities_Resets!$K25-Volatilities_Resets!$I25)/50)*((Calculator!AU36-Calculator!AW$3)*10000)+Volatilities_Resets!$I25)),IF(AU36&gt;=AW$2,IF(AU36&lt;AX$2,(((Volatilities_Resets!$I25-Volatilities_Resets!$G25)/50)*((Calculator!AU36-Calculator!AW$2)*10000)+Volatilities_Resets!$G25)),"Well, something broke...")))))))))))/10000</f>
        <v>1.5890000000000001E-2</v>
      </c>
      <c r="AX36" s="63">
        <f t="shared" ca="1" si="30"/>
        <v>18066.286822943679</v>
      </c>
      <c r="AY36" s="63">
        <f t="shared" ca="1" si="31"/>
        <v>7.2677252600884346E-4</v>
      </c>
      <c r="AZ36" s="63">
        <f t="shared" ca="1" si="46"/>
        <v>549720.66183040186</v>
      </c>
      <c r="BC36" s="63">
        <f t="shared" ca="1" si="8"/>
        <v>93.964800737971558</v>
      </c>
      <c r="BD36" s="63">
        <f ca="1">SUM($BC$15:BC36)</f>
        <v>1135.7784572489491</v>
      </c>
      <c r="BF36" s="52">
        <f ca="1">EXP(-AVERAGE(AV$15:AV36)*AS36)</f>
        <v>0.91204649550363881</v>
      </c>
      <c r="BH36" s="52">
        <f t="shared" ca="1" si="32"/>
        <v>22</v>
      </c>
      <c r="BI36" s="71">
        <f t="shared" ca="1" si="33"/>
        <v>45830</v>
      </c>
      <c r="BJ36" s="71">
        <f t="shared" ca="1" si="9"/>
        <v>45860</v>
      </c>
      <c r="BK36" s="72">
        <f t="shared" ca="1" si="10"/>
        <v>30</v>
      </c>
      <c r="BL36" s="73">
        <f ca="1">SUM(BK$15:BK36)/360</f>
        <v>1.8583333333333334</v>
      </c>
      <c r="BM36" s="74">
        <f t="shared" si="11"/>
        <v>25000000</v>
      </c>
      <c r="BN36" s="59">
        <f t="shared" si="34"/>
        <v>0.05</v>
      </c>
      <c r="BO36" s="57">
        <f>Volatilities_Resets!$E25*0.01</f>
        <v>4.1680900000000007E-2</v>
      </c>
      <c r="BP36" s="61">
        <f>IF(BN36=BQ$11,Volatilities_Resets!$AA25,IF(BN36&gt;=BP$11,IF(BN36&lt;BQ$11,(((Volatilities_Resets!$AA25-Volatilities_Resets!$Y25)/50)*((Calculator!BN36-Calculator!BP$11)*10000)+Volatilities_Resets!$Y25)),IF(BN36&gt;=BP$10,IF(BN36&lt;BQ$10,(((Volatilities_Resets!$Y25-Volatilities_Resets!$W25)/50)*((Calculator!BN36-Calculator!BP$10)*10000)+Volatilities_Resets!$W25)),IF(BN36&gt;=BP$9,IF(BN36&lt;BQ$9,(((Volatilities_Resets!$W25-Volatilities_Resets!$U25)/50)*((Calculator!BN36-Calculator!BP$9)*10000)+Volatilities_Resets!$U25)),IF(BN36&gt;=BP$8,IF(BN36&lt;BQ$8,(((Volatilities_Resets!$U25-Volatilities_Resets!$S25)/50)*((Calculator!BN36-Calculator!BP$8)*10000)+Volatilities_Resets!$S25)),IF(BN36&gt;=BP$7,IF(BN36&lt;BQ$7,(((Volatilities_Resets!$S25-Volatilities_Resets!$Q25)/50)*((Calculator!BN36-Calculator!BP$7)*10000)+Volatilities_Resets!$Q25)),IF(BN36&gt;=BP$6,IF(BN36&lt;BQ$6,(((Volatilities_Resets!$Q25-Volatilities_Resets!$O25)/50)*((Calculator!BN36-Calculator!BP$6)*10000)+Volatilities_Resets!$O25)),IF(BN36&gt;=BP$5,IF(BN36&lt;BQ$5,(((Volatilities_Resets!$O25-Volatilities_Resets!$M25)/50)*((Calculator!BN36-Calculator!BP$5)*10000)+Volatilities_Resets!$M25)),IF(BN36&gt;=BP$4,IF(BN36&lt;BQ$4,(((Volatilities_Resets!$M25-Volatilities_Resets!$K25)/50)*((Calculator!BN36-Calculator!BP$4)*10000)+Volatilities_Resets!$K25)),IF(BN36&gt;=BP$3,IF(BN36&lt;BQ$3,(((Volatilities_Resets!$K25-Volatilities_Resets!$I25)/50)*((Calculator!BN36-Calculator!BP$3)*10000)+Volatilities_Resets!$I25)),IF(BN36&gt;=BP$2,IF(BN36&lt;BQ$2,(((Volatilities_Resets!$I25-Volatilities_Resets!$G25)/50)*((Calculator!BN36-Calculator!BP$2)*10000)+Volatilities_Resets!$G25)),"Well, something broke...")))))))))))/10000</f>
        <v>1.3972999999999999E-2</v>
      </c>
      <c r="BQ36" s="63">
        <f t="shared" ca="1" si="35"/>
        <v>7891.0521073579839</v>
      </c>
      <c r="BR36" s="63">
        <f t="shared" ca="1" si="36"/>
        <v>3.1940203830675489E-4</v>
      </c>
      <c r="BS36" s="63">
        <f t="shared" ca="1" si="47"/>
        <v>209590.95844319585</v>
      </c>
      <c r="BV36" s="63">
        <f t="shared" ca="1" si="37"/>
        <v>85.73132200741729</v>
      </c>
      <c r="BW36" s="63">
        <f ca="1">SUM($BV$15:BV36)</f>
        <v>1404.8694050248857</v>
      </c>
      <c r="BY36" s="52">
        <f ca="1">EXP(-AVERAGE(BO$15:BO36)*BL36)</f>
        <v>0.91204649550363881</v>
      </c>
      <c r="CA36" s="52">
        <f t="shared" ca="1" si="38"/>
        <v>22</v>
      </c>
      <c r="CB36" s="71">
        <f t="shared" ca="1" si="39"/>
        <v>45830</v>
      </c>
      <c r="CC36" s="71">
        <f t="shared" ca="1" si="12"/>
        <v>45860</v>
      </c>
      <c r="CD36" s="72">
        <f t="shared" ca="1" si="13"/>
        <v>30</v>
      </c>
      <c r="CE36" s="73">
        <f ca="1">SUM(CD$15:CD36)/360</f>
        <v>1.8583333333333334</v>
      </c>
      <c r="CF36" s="74">
        <f t="shared" si="14"/>
        <v>25000000</v>
      </c>
      <c r="CG36" s="59">
        <f t="shared" si="40"/>
        <v>0.06</v>
      </c>
      <c r="CH36" s="57">
        <f>Volatilities_Resets!$E25*0.01</f>
        <v>4.1680900000000007E-2</v>
      </c>
      <c r="CI36" s="61">
        <f>IF(CG36=CJ$11,Volatilities_Resets!$AA25,IF(CG36&gt;=CI$11,IF(CG36&lt;CJ$11,(((Volatilities_Resets!$AA25-Volatilities_Resets!$Y25)/50)*((Calculator!CG36-Calculator!CI$11)*10000)+Volatilities_Resets!$Y25)),IF(CG36&gt;=CI$10,IF(CG36&lt;CJ$10,(((Volatilities_Resets!$Y25-Volatilities_Resets!$W25)/50)*((Calculator!CG36-Calculator!CI$10)*10000)+Volatilities_Resets!$W25)),IF(CG36&gt;=CI$9,IF(CG36&lt;CJ$9,(((Volatilities_Resets!$W25-Volatilities_Resets!$U25)/50)*((Calculator!CG36-Calculator!CI$9)*10000)+Volatilities_Resets!$U25)),IF(CG36&gt;=CI$8,IF(CG36&lt;CJ$8,(((Volatilities_Resets!$U25-Volatilities_Resets!$S25)/50)*((Calculator!CG36-Calculator!CI$8)*10000)+Volatilities_Resets!$S25)),IF(CG36&gt;=CI$7,IF(CG36&lt;CJ$7,(((Volatilities_Resets!$S25-Volatilities_Resets!$Q25)/50)*((Calculator!CG36-Calculator!CI$7)*10000)+Volatilities_Resets!$Q25)),IF(CG36&gt;=CI$6,IF(CG36&lt;CJ$6,(((Volatilities_Resets!$Q25-Volatilities_Resets!$O25)/50)*((Calculator!CG36-Calculator!CI$6)*10000)+Volatilities_Resets!$O25)),IF(CG36&gt;=CI$5,IF(CG36&lt;CJ$5,(((Volatilities_Resets!$O25-Volatilities_Resets!$M25)/50)*((Calculator!CG36-Calculator!CI$5)*10000)+Volatilities_Resets!$M25)),IF(CG36&gt;=CI$4,IF(CG36&lt;CJ$4,(((Volatilities_Resets!$M25-Volatilities_Resets!$K25)/50)*((Calculator!CG36-Calculator!CI$4)*10000)+Volatilities_Resets!$K25)),IF(CG36&gt;=CI$3,IF(CG36&lt;CJ$3,(((Volatilities_Resets!$K25-Volatilities_Resets!$I25)/50)*((Calculator!CG36-Calculator!CI$3)*10000)+Volatilities_Resets!$I25)),IF(CG36&gt;=CI$2,IF(CG36&lt;CJ$2,(((Volatilities_Resets!$I25-Volatilities_Resets!$G25)/50)*((Calculator!CG36-Calculator!CI$2)*10000)+Volatilities_Resets!$G25)),"Well, something broke...")))))))))))/10000</f>
        <v>1.3444999999999999E-2</v>
      </c>
      <c r="CJ36" s="63">
        <f t="shared" ca="1" si="41"/>
        <v>2904.2895511370893</v>
      </c>
      <c r="CK36" s="63">
        <f t="shared" ca="1" si="42"/>
        <v>1.1868915032018561E-4</v>
      </c>
      <c r="CL36" s="63">
        <f t="shared" ca="1" si="48"/>
        <v>39638.357808222521</v>
      </c>
      <c r="CO36" s="63">
        <f t="shared" ca="1" si="43"/>
        <v>57.403483053328401</v>
      </c>
      <c r="CP36" s="63">
        <f ca="1">SUM($CO$15:CO36)</f>
        <v>895.61960969191716</v>
      </c>
      <c r="CR36" s="52">
        <f ca="1">EXP(-AVERAGE(CH$15:CH36)*CE36)</f>
        <v>0.91204649550363881</v>
      </c>
      <c r="CT36"/>
      <c r="CU36"/>
      <c r="CV36"/>
      <c r="CW36"/>
      <c r="CX36"/>
      <c r="CY36"/>
      <c r="CZ36"/>
      <c r="DA36"/>
      <c r="DB36"/>
      <c r="DC36"/>
      <c r="DD36"/>
      <c r="DE36"/>
      <c r="DF36"/>
      <c r="DG36"/>
      <c r="DH36"/>
      <c r="DI36"/>
      <c r="DJ36"/>
      <c r="DK36"/>
      <c r="DL36"/>
    </row>
    <row r="37" spans="2:116" ht="15.75" customHeight="1" x14ac:dyDescent="0.2">
      <c r="B37" s="52">
        <v>2</v>
      </c>
      <c r="C37" s="52">
        <f t="shared" ca="1" si="15"/>
        <v>23</v>
      </c>
      <c r="D37" s="71">
        <f t="shared" ca="1" si="16"/>
        <v>45860</v>
      </c>
      <c r="E37" s="71">
        <f t="shared" ca="1" si="0"/>
        <v>45891</v>
      </c>
      <c r="F37" s="72">
        <f t="shared" ca="1" si="1"/>
        <v>31</v>
      </c>
      <c r="G37" s="73">
        <f ca="1">SUM($F$15:F37)/360</f>
        <v>1.9444444444444444</v>
      </c>
      <c r="H37" s="74">
        <f t="shared" si="2"/>
        <v>25000000</v>
      </c>
      <c r="I37" s="59">
        <f>IF('Cap Pricer'!$E$22=DataValidation!$C$2,'Cap Pricer'!$E$23,IF('Cap Pricer'!$E$22=DataValidation!$C$3,VLOOKUP($B37,'Cap Pricer'!$C$25:$E$31,3),""))</f>
        <v>0.02</v>
      </c>
      <c r="J37" s="57">
        <f>Volatilities_Resets!$E26*0.01</f>
        <v>4.1685699999999999E-2</v>
      </c>
      <c r="K37" s="61">
        <f>IF(I37=L$11,Volatilities_Resets!$AA26,IF(I37&gt;=K$11,IF(I37&lt;L$11,(((Volatilities_Resets!$AA26-Volatilities_Resets!$Y26)/50)*((Calculator!I37-Calculator!K$11)*10000)+Volatilities_Resets!$Y26)),IF(I37&gt;=K$10,IF(I37&lt;L$10,(((Volatilities_Resets!$Y26-Volatilities_Resets!$W26)/50)*((Calculator!I37-Calculator!K$10)*10000)+Volatilities_Resets!$W26)),IF(I37&gt;=K$9,IF(I37&lt;L$9,(((Volatilities_Resets!$W26-Volatilities_Resets!$U26)/50)*((Calculator!I37-Calculator!K$9)*10000)+Volatilities_Resets!$U26)),IF(I37&gt;=K$8,IF(I37&lt;L$8,(((Volatilities_Resets!$U26-Volatilities_Resets!$S26)/50)*((Calculator!I37-Calculator!K$8)*10000)+Volatilities_Resets!$S26)),IF(I37&gt;=K$7,IF(I37&lt;L$7,(((Volatilities_Resets!$S26-Volatilities_Resets!$Q26)/50)*((Calculator!I37-Calculator!K$7)*10000)+Volatilities_Resets!$Q26)),IF(I37&gt;=K$6,IF(I37&lt;L$6,(((Volatilities_Resets!$Q26-Volatilities_Resets!$O26)/50)*((Calculator!I37-Calculator!K$6)*10000)+Volatilities_Resets!$O26)),IF(I37&gt;=K$5,IF(I37&lt;L$5,(((Volatilities_Resets!$O26-Volatilities_Resets!$M26)/50)*((Calculator!I37-Calculator!K$5)*10000)+Volatilities_Resets!$M26)),IF(I37&gt;=K$4,IF(I37&lt;L$4,(((Volatilities_Resets!$M26-Volatilities_Resets!$K26)/50)*((Calculator!I37-Calculator!K$4)*10000)+Volatilities_Resets!$K26)),IF(I37&gt;=K$3,IF(I37&lt;L$3,(((Volatilities_Resets!$K26-Volatilities_Resets!$I26)/50)*((Calculator!I37-Calculator!K$3)*10000)+Volatilities_Resets!$I26)),IF(I37&gt;=K$2,IF(I37&lt;L$2,(((Volatilities_Resets!$I26-Volatilities_Resets!$G26)/50)*((Calculator!I37-Calculator!K$2)*10000)+Volatilities_Resets!$G26)),"Well, something broke...")))))))))))/10000</f>
        <v>2.0507000000000001E-2</v>
      </c>
      <c r="L37" s="47">
        <f t="shared" ca="1" si="17"/>
        <v>49657.949302403482</v>
      </c>
      <c r="M37" s="63">
        <f t="shared" ca="1" si="18"/>
        <v>1.9895879394598022E-3</v>
      </c>
      <c r="N37" s="63">
        <f t="shared" ca="1" si="44"/>
        <v>1412001.9513035803</v>
      </c>
      <c r="Q37" s="63">
        <f t="shared" ca="1" si="19"/>
        <v>74.290983017077721</v>
      </c>
      <c r="R37" s="63">
        <f ca="1">SUM($Q$15:Q37)</f>
        <v>739.56438937210794</v>
      </c>
      <c r="T37" s="52">
        <f ca="1">EXP(-AVERAGE(J$15:J37)*G37)</f>
        <v>0.90876727202390095</v>
      </c>
      <c r="U37" s="57"/>
      <c r="V37" s="52">
        <f t="shared" ca="1" si="20"/>
        <v>23</v>
      </c>
      <c r="W37" s="71">
        <f t="shared" ca="1" si="21"/>
        <v>45860</v>
      </c>
      <c r="X37" s="71">
        <f t="shared" ca="1" si="3"/>
        <v>45891</v>
      </c>
      <c r="Y37" s="72">
        <f t="shared" ca="1" si="4"/>
        <v>31</v>
      </c>
      <c r="Z37" s="73">
        <f ca="1">SUM(Y$15:Y37)/360</f>
        <v>1.9444444444444444</v>
      </c>
      <c r="AA37" s="74">
        <f t="shared" si="22"/>
        <v>25000000</v>
      </c>
      <c r="AB37" s="59">
        <f t="shared" si="23"/>
        <v>0.03</v>
      </c>
      <c r="AC37" s="57">
        <f>Volatilities_Resets!$E26*0.01</f>
        <v>4.1685699999999999E-2</v>
      </c>
      <c r="AD37" s="61">
        <f>IF(AB37=AE$11,Volatilities_Resets!$AA26,IF(AB37&gt;=AD$11,IF(AB37&lt;AE$11,(((Volatilities_Resets!$AA26-Volatilities_Resets!$Y26)/50)*((Calculator!AB37-Calculator!AD$11)*10000)+Volatilities_Resets!$Y26)),IF(AB37&gt;=AD$10,IF(AB37&lt;AE$10,(((Volatilities_Resets!$Y26-Volatilities_Resets!$W26)/50)*((Calculator!AB37-Calculator!AD$10)*10000)+Volatilities_Resets!$W26)),IF(AB37&gt;=AD$9,IF(AB37&lt;AE$9,(((Volatilities_Resets!$W26-Volatilities_Resets!$U26)/50)*((Calculator!AB37-Calculator!AD$9)*10000)+Volatilities_Resets!$U26)),IF(AB37&gt;=AD$8,IF(AB37&lt;AE$8,(((Volatilities_Resets!$U26-Volatilities_Resets!$S26)/50)*((Calculator!AB37-Calculator!AD$8)*10000)+Volatilities_Resets!$S26)),IF(AB37&gt;=AD$7,IF(AB37&lt;AE$7,(((Volatilities_Resets!$S26-Volatilities_Resets!$Q26)/50)*((Calculator!AB37-Calculator!AD$7)*10000)+Volatilities_Resets!$Q26)),IF(AB37&gt;=AD$6,IF(AB37&lt;AE$6,(((Volatilities_Resets!$Q26-Volatilities_Resets!$O26)/50)*((Calculator!AB37-Calculator!AD$6)*10000)+Volatilities_Resets!$O26)),IF(AB37&gt;=AD$5,IF(AB37&lt;AE$5,(((Volatilities_Resets!$O26-Volatilities_Resets!$M26)/50)*((Calculator!AB37-Calculator!AD$5)*10000)+Volatilities_Resets!$M26)),IF(AB37&gt;=AD$4,IF(AB37&lt;AE$4,(((Volatilities_Resets!$M26-Volatilities_Resets!$K26)/50)*((Calculator!AB37-Calculator!AD$4)*10000)+Volatilities_Resets!$K26)),IF(AB37&gt;=AD$3,IF(AB37&lt;AE$3,(((Volatilities_Resets!$K26-Volatilities_Resets!$I26)/50)*((Calculator!AB37-Calculator!AD$3)*10000)+Volatilities_Resets!$I26)),IF(AB37&gt;=AD$2,IF(AB37&lt;AE$2,(((Volatilities_Resets!$I26-Volatilities_Resets!$G26)/50)*((Calculator!AB37-Calculator!AD$2)*10000)+Volatilities_Resets!$G26)),"Well, something broke...")))))))))))/10000</f>
        <v>1.8318999999999998E-2</v>
      </c>
      <c r="AE37" s="63">
        <f t="shared" ca="1" si="24"/>
        <v>33418.375502265073</v>
      </c>
      <c r="AF37" s="63">
        <f t="shared" ca="1" si="25"/>
        <v>1.3406580686603779E-3</v>
      </c>
      <c r="AG37" s="63">
        <f t="shared" ca="1" si="45"/>
        <v>981437.6132481494</v>
      </c>
      <c r="AJ37" s="63">
        <f t="shared" ca="1" si="26"/>
        <v>89.128453669292682</v>
      </c>
      <c r="AK37" s="63">
        <f ca="1">SUM($AJ$15:AJ37)</f>
        <v>975.92239852212651</v>
      </c>
      <c r="AM37" s="52">
        <f ca="1">EXP(-AVERAGE(AC$15:AC37)*Z37)</f>
        <v>0.90876727202390095</v>
      </c>
      <c r="AO37" s="52">
        <f t="shared" ca="1" si="27"/>
        <v>23</v>
      </c>
      <c r="AP37" s="71">
        <f t="shared" ca="1" si="28"/>
        <v>45860</v>
      </c>
      <c r="AQ37" s="71">
        <f t="shared" ca="1" si="5"/>
        <v>45891</v>
      </c>
      <c r="AR37" s="72">
        <f t="shared" ca="1" si="6"/>
        <v>31</v>
      </c>
      <c r="AS37" s="73">
        <f ca="1">SUM(AR$15:AR37)/360</f>
        <v>1.9444444444444444</v>
      </c>
      <c r="AT37" s="74">
        <f t="shared" si="7"/>
        <v>25000000</v>
      </c>
      <c r="AU37" s="59">
        <f t="shared" si="29"/>
        <v>0.04</v>
      </c>
      <c r="AV37" s="57">
        <f>Volatilities_Resets!$E26*0.01</f>
        <v>4.1685699999999999E-2</v>
      </c>
      <c r="AW37" s="61">
        <f>IF(AU37=AX$11,Volatilities_Resets!$AA26,IF(AU37&gt;=AW$11,IF(AU37&lt;AX$11,(((Volatilities_Resets!$AA26-Volatilities_Resets!$Y26)/50)*((Calculator!AU37-Calculator!AW$11)*10000)+Volatilities_Resets!$Y26)),IF(AU37&gt;=AW$10,IF(AU37&lt;AX$10,(((Volatilities_Resets!$Y26-Volatilities_Resets!$W26)/50)*((Calculator!AU37-Calculator!AW$10)*10000)+Volatilities_Resets!$W26)),IF(AU37&gt;=AW$9,IF(AU37&lt;AX$9,(((Volatilities_Resets!$W26-Volatilities_Resets!$U26)/50)*((Calculator!AU37-Calculator!AW$9)*10000)+Volatilities_Resets!$U26)),IF(AU37&gt;=AW$8,IF(AU37&lt;AX$8,(((Volatilities_Resets!$U26-Volatilities_Resets!$S26)/50)*((Calculator!AU37-Calculator!AW$8)*10000)+Volatilities_Resets!$S26)),IF(AU37&gt;=AW$7,IF(AU37&lt;AX$7,(((Volatilities_Resets!$S26-Volatilities_Resets!$Q26)/50)*((Calculator!AU37-Calculator!AW$7)*10000)+Volatilities_Resets!$Q26)),IF(AU37&gt;=AW$6,IF(AU37&lt;AX$6,(((Volatilities_Resets!$Q26-Volatilities_Resets!$O26)/50)*((Calculator!AU37-Calculator!AW$6)*10000)+Volatilities_Resets!$O26)),IF(AU37&gt;=AW$5,IF(AU37&lt;AX$5,(((Volatilities_Resets!$O26-Volatilities_Resets!$M26)/50)*((Calculator!AU37-Calculator!AW$5)*10000)+Volatilities_Resets!$M26)),IF(AU37&gt;=AW$4,IF(AU37&lt;AX$4,(((Volatilities_Resets!$M26-Volatilities_Resets!$K26)/50)*((Calculator!AU37-Calculator!AW$4)*10000)+Volatilities_Resets!$K26)),IF(AU37&gt;=AW$3,IF(AU37&lt;AX$3,(((Volatilities_Resets!$K26-Volatilities_Resets!$I26)/50)*((Calculator!AU37-Calculator!AW$3)*10000)+Volatilities_Resets!$I26)),IF(AU37&gt;=AW$2,IF(AU37&lt;AX$2,(((Volatilities_Resets!$I26-Volatilities_Resets!$G26)/50)*((Calculator!AU37-Calculator!AW$2)*10000)+Volatilities_Resets!$G26)),"Well, something broke...")))))))))))/10000</f>
        <v>1.5668000000000001E-2</v>
      </c>
      <c r="AX37" s="63">
        <f t="shared" ca="1" si="30"/>
        <v>18751.57960345062</v>
      </c>
      <c r="AY37" s="63">
        <f t="shared" ca="1" si="31"/>
        <v>7.5440363877093985E-4</v>
      </c>
      <c r="AZ37" s="63">
        <f t="shared" ca="1" si="46"/>
        <v>568472.24143385247</v>
      </c>
      <c r="BC37" s="63">
        <f t="shared" ca="1" si="8"/>
        <v>98.611577902441738</v>
      </c>
      <c r="BD37" s="63">
        <f ca="1">SUM($BC$15:BC37)</f>
        <v>1234.3900351513907</v>
      </c>
      <c r="BF37" s="52">
        <f ca="1">EXP(-AVERAGE(AV$15:AV37)*AS37)</f>
        <v>0.90876727202390095</v>
      </c>
      <c r="BH37" s="52">
        <f t="shared" ca="1" si="32"/>
        <v>23</v>
      </c>
      <c r="BI37" s="71">
        <f t="shared" ca="1" si="33"/>
        <v>45860</v>
      </c>
      <c r="BJ37" s="71">
        <f t="shared" ca="1" si="9"/>
        <v>45891</v>
      </c>
      <c r="BK37" s="72">
        <f t="shared" ca="1" si="10"/>
        <v>31</v>
      </c>
      <c r="BL37" s="73">
        <f ca="1">SUM(BK$15:BK37)/360</f>
        <v>1.9444444444444444</v>
      </c>
      <c r="BM37" s="74">
        <f t="shared" si="11"/>
        <v>25000000</v>
      </c>
      <c r="BN37" s="59">
        <f t="shared" si="34"/>
        <v>0.05</v>
      </c>
      <c r="BO37" s="57">
        <f>Volatilities_Resets!$E26*0.01</f>
        <v>4.1685699999999999E-2</v>
      </c>
      <c r="BP37" s="61">
        <f>IF(BN37=BQ$11,Volatilities_Resets!$AA26,IF(BN37&gt;=BP$11,IF(BN37&lt;BQ$11,(((Volatilities_Resets!$AA26-Volatilities_Resets!$Y26)/50)*((Calculator!BN37-Calculator!BP$11)*10000)+Volatilities_Resets!$Y26)),IF(BN37&gt;=BP$10,IF(BN37&lt;BQ$10,(((Volatilities_Resets!$Y26-Volatilities_Resets!$W26)/50)*((Calculator!BN37-Calculator!BP$10)*10000)+Volatilities_Resets!$W26)),IF(BN37&gt;=BP$9,IF(BN37&lt;BQ$9,(((Volatilities_Resets!$W26-Volatilities_Resets!$U26)/50)*((Calculator!BN37-Calculator!BP$9)*10000)+Volatilities_Resets!$U26)),IF(BN37&gt;=BP$8,IF(BN37&lt;BQ$8,(((Volatilities_Resets!$U26-Volatilities_Resets!$S26)/50)*((Calculator!BN37-Calculator!BP$8)*10000)+Volatilities_Resets!$S26)),IF(BN37&gt;=BP$7,IF(BN37&lt;BQ$7,(((Volatilities_Resets!$S26-Volatilities_Resets!$Q26)/50)*((Calculator!BN37-Calculator!BP$7)*10000)+Volatilities_Resets!$Q26)),IF(BN37&gt;=BP$6,IF(BN37&lt;BQ$6,(((Volatilities_Resets!$Q26-Volatilities_Resets!$O26)/50)*((Calculator!BN37-Calculator!BP$6)*10000)+Volatilities_Resets!$O26)),IF(BN37&gt;=BP$5,IF(BN37&lt;BQ$5,(((Volatilities_Resets!$O26-Volatilities_Resets!$M26)/50)*((Calculator!BN37-Calculator!BP$5)*10000)+Volatilities_Resets!$M26)),IF(BN37&gt;=BP$4,IF(BN37&lt;BQ$4,(((Volatilities_Resets!$M26-Volatilities_Resets!$K26)/50)*((Calculator!BN37-Calculator!BP$4)*10000)+Volatilities_Resets!$K26)),IF(BN37&gt;=BP$3,IF(BN37&lt;BQ$3,(((Volatilities_Resets!$K26-Volatilities_Resets!$I26)/50)*((Calculator!BN37-Calculator!BP$3)*10000)+Volatilities_Resets!$I26)),IF(BN37&gt;=BP$2,IF(BN37&lt;BQ$2,(((Volatilities_Resets!$I26-Volatilities_Resets!$G26)/50)*((Calculator!BN37-Calculator!BP$2)*10000)+Volatilities_Resets!$G26)),"Well, something broke...")))))))))))/10000</f>
        <v>1.3933000000000001E-2</v>
      </c>
      <c r="BQ37" s="63">
        <f t="shared" ca="1" si="35"/>
        <v>8398.4070231263831</v>
      </c>
      <c r="BR37" s="63">
        <f t="shared" ca="1" si="36"/>
        <v>3.3991127326561763E-4</v>
      </c>
      <c r="BS37" s="63">
        <f t="shared" ca="1" si="47"/>
        <v>217989.36546632223</v>
      </c>
      <c r="BV37" s="63">
        <f t="shared" ca="1" si="37"/>
        <v>90.308573641218217</v>
      </c>
      <c r="BW37" s="63">
        <f ca="1">SUM($BV$15:BV37)</f>
        <v>1495.1779786661039</v>
      </c>
      <c r="BY37" s="52">
        <f ca="1">EXP(-AVERAGE(BO$15:BO37)*BL37)</f>
        <v>0.90876727202390095</v>
      </c>
      <c r="CA37" s="52">
        <f t="shared" ca="1" si="38"/>
        <v>23</v>
      </c>
      <c r="CB37" s="71">
        <f t="shared" ca="1" si="39"/>
        <v>45860</v>
      </c>
      <c r="CC37" s="71">
        <f t="shared" ca="1" si="12"/>
        <v>45891</v>
      </c>
      <c r="CD37" s="72">
        <f t="shared" ca="1" si="13"/>
        <v>31</v>
      </c>
      <c r="CE37" s="73">
        <f ca="1">SUM(CD$15:CD37)/360</f>
        <v>1.9444444444444444</v>
      </c>
      <c r="CF37" s="74">
        <f t="shared" si="14"/>
        <v>25000000</v>
      </c>
      <c r="CG37" s="59">
        <f t="shared" si="40"/>
        <v>0.06</v>
      </c>
      <c r="CH37" s="57">
        <f>Volatilities_Resets!$E26*0.01</f>
        <v>4.1685699999999999E-2</v>
      </c>
      <c r="CI37" s="61">
        <f>IF(CG37=CJ$11,Volatilities_Resets!$AA26,IF(CG37&gt;=CI$11,IF(CG37&lt;CJ$11,(((Volatilities_Resets!$AA26-Volatilities_Resets!$Y26)/50)*((Calculator!CG37-Calculator!CI$11)*10000)+Volatilities_Resets!$Y26)),IF(CG37&gt;=CI$10,IF(CG37&lt;CJ$10,(((Volatilities_Resets!$Y26-Volatilities_Resets!$W26)/50)*((Calculator!CG37-Calculator!CI$10)*10000)+Volatilities_Resets!$W26)),IF(CG37&gt;=CI$9,IF(CG37&lt;CJ$9,(((Volatilities_Resets!$W26-Volatilities_Resets!$U26)/50)*((Calculator!CG37-Calculator!CI$9)*10000)+Volatilities_Resets!$U26)),IF(CG37&gt;=CI$8,IF(CG37&lt;CJ$8,(((Volatilities_Resets!$U26-Volatilities_Resets!$S26)/50)*((Calculator!CG37-Calculator!CI$8)*10000)+Volatilities_Resets!$S26)),IF(CG37&gt;=CI$7,IF(CG37&lt;CJ$7,(((Volatilities_Resets!$S26-Volatilities_Resets!$Q26)/50)*((Calculator!CG37-Calculator!CI$7)*10000)+Volatilities_Resets!$Q26)),IF(CG37&gt;=CI$6,IF(CG37&lt;CJ$6,(((Volatilities_Resets!$Q26-Volatilities_Resets!$O26)/50)*((Calculator!CG37-Calculator!CI$6)*10000)+Volatilities_Resets!$O26)),IF(CG37&gt;=CI$5,IF(CG37&lt;CJ$5,(((Volatilities_Resets!$O26-Volatilities_Resets!$M26)/50)*((Calculator!CG37-Calculator!CI$5)*10000)+Volatilities_Resets!$M26)),IF(CG37&gt;=CI$4,IF(CG37&lt;CJ$4,(((Volatilities_Resets!$M26-Volatilities_Resets!$K26)/50)*((Calculator!CG37-Calculator!CI$4)*10000)+Volatilities_Resets!$K26)),IF(CG37&gt;=CI$3,IF(CG37&lt;CJ$3,(((Volatilities_Resets!$K26-Volatilities_Resets!$I26)/50)*((Calculator!CG37-Calculator!CI$3)*10000)+Volatilities_Resets!$I26)),IF(CG37&gt;=CI$2,IF(CG37&lt;CJ$2,(((Volatilities_Resets!$I26-Volatilities_Resets!$G26)/50)*((Calculator!CG37-Calculator!CI$2)*10000)+Volatilities_Resets!$G26)),"Well, something broke...")))))))))))/10000</f>
        <v>1.3469E-2</v>
      </c>
      <c r="CJ37" s="63">
        <f t="shared" ca="1" si="41"/>
        <v>3209.1606108435803</v>
      </c>
      <c r="CK37" s="63">
        <f t="shared" ca="1" si="42"/>
        <v>1.3108202986647689E-4</v>
      </c>
      <c r="CL37" s="63">
        <f t="shared" ca="1" si="48"/>
        <v>42847.518419066102</v>
      </c>
      <c r="CO37" s="63">
        <f t="shared" ca="1" si="43"/>
        <v>61.696333524966818</v>
      </c>
      <c r="CP37" s="63">
        <f ca="1">SUM($CO$15:CO37)</f>
        <v>957.31594321688397</v>
      </c>
      <c r="CR37" s="52">
        <f ca="1">EXP(-AVERAGE(CH$15:CH37)*CE37)</f>
        <v>0.90876727202390095</v>
      </c>
      <c r="CT37"/>
      <c r="CU37"/>
      <c r="CV37"/>
      <c r="CW37"/>
      <c r="CX37"/>
      <c r="CY37"/>
      <c r="CZ37"/>
      <c r="DA37"/>
      <c r="DB37"/>
      <c r="DC37"/>
      <c r="DD37"/>
      <c r="DE37"/>
      <c r="DF37"/>
      <c r="DG37"/>
      <c r="DH37"/>
      <c r="DI37"/>
      <c r="DJ37"/>
      <c r="DK37"/>
      <c r="DL37"/>
    </row>
    <row r="38" spans="2:116" ht="15.75" customHeight="1" x14ac:dyDescent="0.2">
      <c r="B38" s="52">
        <v>2</v>
      </c>
      <c r="C38" s="75">
        <f t="shared" ca="1" si="15"/>
        <v>24</v>
      </c>
      <c r="D38" s="76">
        <f t="shared" ca="1" si="16"/>
        <v>45891</v>
      </c>
      <c r="E38" s="76">
        <f t="shared" ca="1" si="0"/>
        <v>45922</v>
      </c>
      <c r="F38" s="77">
        <f t="shared" ca="1" si="1"/>
        <v>31</v>
      </c>
      <c r="G38" s="78">
        <f ca="1">SUM($F$15:F38)/360</f>
        <v>2.0305555555555554</v>
      </c>
      <c r="H38" s="79">
        <f t="shared" si="2"/>
        <v>25000000</v>
      </c>
      <c r="I38" s="80">
        <f>IF('Cap Pricer'!$E$22=DataValidation!$C$2,'Cap Pricer'!$E$23,IF('Cap Pricer'!$E$22=DataValidation!$C$3,VLOOKUP($B38,'Cap Pricer'!$C$25:$E$31,3),""))</f>
        <v>0.02</v>
      </c>
      <c r="J38" s="81">
        <f>Volatilities_Resets!$E27*0.01</f>
        <v>4.16833E-2</v>
      </c>
      <c r="K38" s="82">
        <f>IF(I38=L$11,Volatilities_Resets!$AA27,IF(I38&gt;=K$11,IF(I38&lt;L$11,(((Volatilities_Resets!$AA27-Volatilities_Resets!$Y27)/50)*((Calculator!I38-Calculator!K$11)*10000)+Volatilities_Resets!$Y27)),IF(I38&gt;=K$10,IF(I38&lt;L$10,(((Volatilities_Resets!$Y27-Volatilities_Resets!$W27)/50)*((Calculator!I38-Calculator!K$10)*10000)+Volatilities_Resets!$W27)),IF(I38&gt;=K$9,IF(I38&lt;L$9,(((Volatilities_Resets!$W27-Volatilities_Resets!$U27)/50)*((Calculator!I38-Calculator!K$9)*10000)+Volatilities_Resets!$U27)),IF(I38&gt;=K$8,IF(I38&lt;L$8,(((Volatilities_Resets!$U27-Volatilities_Resets!$S27)/50)*((Calculator!I38-Calculator!K$8)*10000)+Volatilities_Resets!$S27)),IF(I38&gt;=K$7,IF(I38&lt;L$7,(((Volatilities_Resets!$S27-Volatilities_Resets!$Q27)/50)*((Calculator!I38-Calculator!K$7)*10000)+Volatilities_Resets!$Q27)),IF(I38&gt;=K$6,IF(I38&lt;L$6,(((Volatilities_Resets!$Q27-Volatilities_Resets!$O27)/50)*((Calculator!I38-Calculator!K$6)*10000)+Volatilities_Resets!$O27)),IF(I38&gt;=K$5,IF(I38&lt;L$5,(((Volatilities_Resets!$O27-Volatilities_Resets!$M27)/50)*((Calculator!I38-Calculator!K$5)*10000)+Volatilities_Resets!$M27)),IF(I38&gt;=K$4,IF(I38&lt;L$4,(((Volatilities_Resets!$M27-Volatilities_Resets!$K27)/50)*((Calculator!I38-Calculator!K$4)*10000)+Volatilities_Resets!$K27)),IF(I38&gt;=K$3,IF(I38&lt;L$3,(((Volatilities_Resets!$K27-Volatilities_Resets!$I27)/50)*((Calculator!I38-Calculator!K$3)*10000)+Volatilities_Resets!$I27)),IF(I38&gt;=K$2,IF(I38&lt;L$2,(((Volatilities_Resets!$I27-Volatilities_Resets!$G27)/50)*((Calculator!I38-Calculator!K$2)*10000)+Volatilities_Resets!$G27)),"Well, something broke...")))))))))))/10000</f>
        <v>1.9747000000000001E-2</v>
      </c>
      <c r="L38" s="83">
        <f t="shared" ca="1" si="17"/>
        <v>49210.680055136581</v>
      </c>
      <c r="M38" s="84">
        <f t="shared" ca="1" si="18"/>
        <v>1.9717261493534103E-3</v>
      </c>
      <c r="N38" s="84">
        <f t="shared" ca="1" si="44"/>
        <v>1461212.6313587169</v>
      </c>
      <c r="O38" s="84">
        <f ca="1">SUM(L27:L38)</f>
        <v>634223.50959387061</v>
      </c>
      <c r="P38" s="49"/>
      <c r="Q38" s="84">
        <f t="shared" ca="1" si="19"/>
        <v>74.679994691957859</v>
      </c>
      <c r="R38" s="84">
        <f ca="1">SUM($Q$15:Q38)</f>
        <v>814.2443840640658</v>
      </c>
      <c r="T38" s="52">
        <f ca="1">EXP(-AVERAGE(J$15:J38)*G38)</f>
        <v>0.90550095339882142</v>
      </c>
      <c r="U38" s="57"/>
      <c r="V38" s="75">
        <f t="shared" ca="1" si="20"/>
        <v>24</v>
      </c>
      <c r="W38" s="76">
        <f t="shared" ca="1" si="21"/>
        <v>45891</v>
      </c>
      <c r="X38" s="76">
        <f t="shared" ca="1" si="3"/>
        <v>45922</v>
      </c>
      <c r="Y38" s="77">
        <f t="shared" ca="1" si="4"/>
        <v>31</v>
      </c>
      <c r="Z38" s="78">
        <f ca="1">SUM(Y$15:Y38)/360</f>
        <v>2.0305555555555554</v>
      </c>
      <c r="AA38" s="79">
        <f t="shared" si="22"/>
        <v>25000000</v>
      </c>
      <c r="AB38" s="80">
        <f t="shared" si="23"/>
        <v>0.03</v>
      </c>
      <c r="AC38" s="81">
        <f>Volatilities_Resets!$E27*0.01</f>
        <v>4.16833E-2</v>
      </c>
      <c r="AD38" s="82">
        <f>IF(AB38=AE$11,Volatilities_Resets!$AA27,IF(AB38&gt;=AD$11,IF(AB38&lt;AE$11,(((Volatilities_Resets!$AA27-Volatilities_Resets!$Y27)/50)*((Calculator!AB38-Calculator!AD$11)*10000)+Volatilities_Resets!$Y27)),IF(AB38&gt;=AD$10,IF(AB38&lt;AE$10,(((Volatilities_Resets!$Y27-Volatilities_Resets!$W27)/50)*((Calculator!AB38-Calculator!AD$10)*10000)+Volatilities_Resets!$W27)),IF(AB38&gt;=AD$9,IF(AB38&lt;AE$9,(((Volatilities_Resets!$W27-Volatilities_Resets!$U27)/50)*((Calculator!AB38-Calculator!AD$9)*10000)+Volatilities_Resets!$U27)),IF(AB38&gt;=AD$8,IF(AB38&lt;AE$8,(((Volatilities_Resets!$U27-Volatilities_Resets!$S27)/50)*((Calculator!AB38-Calculator!AD$8)*10000)+Volatilities_Resets!$S27)),IF(AB38&gt;=AD$7,IF(AB38&lt;AE$7,(((Volatilities_Resets!$S27-Volatilities_Resets!$Q27)/50)*((Calculator!AB38-Calculator!AD$7)*10000)+Volatilities_Resets!$Q27)),IF(AB38&gt;=AD$6,IF(AB38&lt;AE$6,(((Volatilities_Resets!$Q27-Volatilities_Resets!$O27)/50)*((Calculator!AB38-Calculator!AD$6)*10000)+Volatilities_Resets!$O27)),IF(AB38&gt;=AD$5,IF(AB38&lt;AE$5,(((Volatilities_Resets!$O27-Volatilities_Resets!$M27)/50)*((Calculator!AB38-Calculator!AD$5)*10000)+Volatilities_Resets!$M27)),IF(AB38&gt;=AD$4,IF(AB38&lt;AE$4,(((Volatilities_Resets!$M27-Volatilities_Resets!$K27)/50)*((Calculator!AB38-Calculator!AD$4)*10000)+Volatilities_Resets!$K27)),IF(AB38&gt;=AD$3,IF(AB38&lt;AE$3,(((Volatilities_Resets!$K27-Volatilities_Resets!$I27)/50)*((Calculator!AB38-Calculator!AD$3)*10000)+Volatilities_Resets!$I27)),IF(AB38&gt;=AD$2,IF(AB38&lt;AE$2,(((Volatilities_Resets!$I27-Volatilities_Resets!$G27)/50)*((Calculator!AB38-Calculator!AD$2)*10000)+Volatilities_Resets!$G27)),"Well, something broke...")))))))))))/10000</f>
        <v>1.7791999999999999E-2</v>
      </c>
      <c r="AE38" s="84">
        <f t="shared" ca="1" si="24"/>
        <v>33161.09774570528</v>
      </c>
      <c r="AF38" s="84">
        <f t="shared" ca="1" si="25"/>
        <v>1.3304324192247444E-3</v>
      </c>
      <c r="AG38" s="84">
        <f t="shared" ca="1" si="45"/>
        <v>1014598.7109938547</v>
      </c>
      <c r="AH38" s="84">
        <f ca="1">SUM(AE27:AE38)</f>
        <v>430776.86133559444</v>
      </c>
      <c r="AI38" s="49"/>
      <c r="AJ38" s="84">
        <f t="shared" ca="1" si="26"/>
        <v>90.289976530027133</v>
      </c>
      <c r="AK38" s="84">
        <f ca="1">SUM($AJ$15:AJ38)</f>
        <v>1066.2123750521537</v>
      </c>
      <c r="AM38" s="52">
        <f ca="1">EXP(-AVERAGE(AC$15:AC38)*Z38)</f>
        <v>0.90550095339882142</v>
      </c>
      <c r="AO38" s="75">
        <f t="shared" ca="1" si="27"/>
        <v>24</v>
      </c>
      <c r="AP38" s="76">
        <f t="shared" ca="1" si="28"/>
        <v>45891</v>
      </c>
      <c r="AQ38" s="76">
        <f t="shared" ca="1" si="5"/>
        <v>45922</v>
      </c>
      <c r="AR38" s="77">
        <f t="shared" ca="1" si="6"/>
        <v>31</v>
      </c>
      <c r="AS38" s="78">
        <f ca="1">SUM(AR$15:AR38)/360</f>
        <v>2.0305555555555554</v>
      </c>
      <c r="AT38" s="79">
        <f t="shared" si="7"/>
        <v>25000000</v>
      </c>
      <c r="AU38" s="80">
        <f t="shared" si="29"/>
        <v>0.04</v>
      </c>
      <c r="AV38" s="81">
        <f>Volatilities_Resets!$E27*0.01</f>
        <v>4.16833E-2</v>
      </c>
      <c r="AW38" s="82">
        <f>IF(AU38=AX$11,Volatilities_Resets!$AA27,IF(AU38&gt;=AW$11,IF(AU38&lt;AX$11,(((Volatilities_Resets!$AA27-Volatilities_Resets!$Y27)/50)*((Calculator!AU38-Calculator!AW$11)*10000)+Volatilities_Resets!$Y27)),IF(AU38&gt;=AW$10,IF(AU38&lt;AX$10,(((Volatilities_Resets!$Y27-Volatilities_Resets!$W27)/50)*((Calculator!AU38-Calculator!AW$10)*10000)+Volatilities_Resets!$W27)),IF(AU38&gt;=AW$9,IF(AU38&lt;AX$9,(((Volatilities_Resets!$W27-Volatilities_Resets!$U27)/50)*((Calculator!AU38-Calculator!AW$9)*10000)+Volatilities_Resets!$U27)),IF(AU38&gt;=AW$8,IF(AU38&lt;AX$8,(((Volatilities_Resets!$U27-Volatilities_Resets!$S27)/50)*((Calculator!AU38-Calculator!AW$8)*10000)+Volatilities_Resets!$S27)),IF(AU38&gt;=AW$7,IF(AU38&lt;AX$7,(((Volatilities_Resets!$S27-Volatilities_Resets!$Q27)/50)*((Calculator!AU38-Calculator!AW$7)*10000)+Volatilities_Resets!$Q27)),IF(AU38&gt;=AW$6,IF(AU38&lt;AX$6,(((Volatilities_Resets!$Q27-Volatilities_Resets!$O27)/50)*((Calculator!AU38-Calculator!AW$6)*10000)+Volatilities_Resets!$O27)),IF(AU38&gt;=AW$5,IF(AU38&lt;AX$5,(((Volatilities_Resets!$O27-Volatilities_Resets!$M27)/50)*((Calculator!AU38-Calculator!AW$5)*10000)+Volatilities_Resets!$M27)),IF(AU38&gt;=AW$4,IF(AU38&lt;AX$4,(((Volatilities_Resets!$M27-Volatilities_Resets!$K27)/50)*((Calculator!AU38-Calculator!AW$4)*10000)+Volatilities_Resets!$K27)),IF(AU38&gt;=AW$3,IF(AU38&lt;AX$3,(((Volatilities_Resets!$K27-Volatilities_Resets!$I27)/50)*((Calculator!AU38-Calculator!AW$3)*10000)+Volatilities_Resets!$I27)),IF(AU38&gt;=AW$2,IF(AU38&lt;AX$2,(((Volatilities_Resets!$I27-Volatilities_Resets!$G27)/50)*((Calculator!AU38-Calculator!AW$2)*10000)+Volatilities_Resets!$G27)),"Well, something broke...")))))))))))/10000</f>
        <v>1.5387E-2</v>
      </c>
      <c r="AX38" s="84">
        <f t="shared" ca="1" si="30"/>
        <v>18742.270091533843</v>
      </c>
      <c r="AY38" s="84">
        <f t="shared" ca="1" si="31"/>
        <v>7.5411051632901774E-4</v>
      </c>
      <c r="AZ38" s="84">
        <f t="shared" ca="1" si="46"/>
        <v>587214.51152538636</v>
      </c>
      <c r="BA38" s="84">
        <f ca="1">SUM(AX27:AX38)</f>
        <v>244244.89322709199</v>
      </c>
      <c r="BB38" s="49"/>
      <c r="BC38" s="84">
        <f t="shared" ca="1" si="8"/>
        <v>100.05135085796509</v>
      </c>
      <c r="BD38" s="84">
        <f ca="1">SUM($BC$15:BC38)</f>
        <v>1334.4413860093559</v>
      </c>
      <c r="BF38" s="52">
        <f ca="1">EXP(-AVERAGE(AV$15:AV38)*AS38)</f>
        <v>0.90550095339882142</v>
      </c>
      <c r="BH38" s="75">
        <f t="shared" ca="1" si="32"/>
        <v>24</v>
      </c>
      <c r="BI38" s="76">
        <f t="shared" ca="1" si="33"/>
        <v>45891</v>
      </c>
      <c r="BJ38" s="76">
        <f t="shared" ca="1" si="9"/>
        <v>45922</v>
      </c>
      <c r="BK38" s="77">
        <f t="shared" ca="1" si="10"/>
        <v>31</v>
      </c>
      <c r="BL38" s="78">
        <f ca="1">SUM(BK$15:BK38)/360</f>
        <v>2.0305555555555554</v>
      </c>
      <c r="BM38" s="79">
        <f t="shared" si="11"/>
        <v>25000000</v>
      </c>
      <c r="BN38" s="80">
        <f t="shared" si="34"/>
        <v>0.05</v>
      </c>
      <c r="BO38" s="81">
        <f>Volatilities_Resets!$E27*0.01</f>
        <v>4.16833E-2</v>
      </c>
      <c r="BP38" s="82">
        <f>IF(BN38=BQ$11,Volatilities_Resets!$AA27,IF(BN38&gt;=BP$11,IF(BN38&lt;BQ$11,(((Volatilities_Resets!$AA27-Volatilities_Resets!$Y27)/50)*((Calculator!BN38-Calculator!BP$11)*10000)+Volatilities_Resets!$Y27)),IF(BN38&gt;=BP$10,IF(BN38&lt;BQ$10,(((Volatilities_Resets!$Y27-Volatilities_Resets!$W27)/50)*((Calculator!BN38-Calculator!BP$10)*10000)+Volatilities_Resets!$W27)),IF(BN38&gt;=BP$9,IF(BN38&lt;BQ$9,(((Volatilities_Resets!$W27-Volatilities_Resets!$U27)/50)*((Calculator!BN38-Calculator!BP$9)*10000)+Volatilities_Resets!$U27)),IF(BN38&gt;=BP$8,IF(BN38&lt;BQ$8,(((Volatilities_Resets!$U27-Volatilities_Resets!$S27)/50)*((Calculator!BN38-Calculator!BP$8)*10000)+Volatilities_Resets!$S27)),IF(BN38&gt;=BP$7,IF(BN38&lt;BQ$7,(((Volatilities_Resets!$S27-Volatilities_Resets!$Q27)/50)*((Calculator!BN38-Calculator!BP$7)*10000)+Volatilities_Resets!$Q27)),IF(BN38&gt;=BP$6,IF(BN38&lt;BQ$6,(((Volatilities_Resets!$Q27-Volatilities_Resets!$O27)/50)*((Calculator!BN38-Calculator!BP$6)*10000)+Volatilities_Resets!$O27)),IF(BN38&gt;=BP$5,IF(BN38&lt;BQ$5,(((Volatilities_Resets!$O27-Volatilities_Resets!$M27)/50)*((Calculator!BN38-Calculator!BP$5)*10000)+Volatilities_Resets!$M27)),IF(BN38&gt;=BP$4,IF(BN38&lt;BQ$4,(((Volatilities_Resets!$M27-Volatilities_Resets!$K27)/50)*((Calculator!BN38-Calculator!BP$4)*10000)+Volatilities_Resets!$K27)),IF(BN38&gt;=BP$3,IF(BN38&lt;BQ$3,(((Volatilities_Resets!$K27-Volatilities_Resets!$I27)/50)*((Calculator!BN38-Calculator!BP$3)*10000)+Volatilities_Resets!$I27)),IF(BN38&gt;=BP$2,IF(BN38&lt;BQ$2,(((Volatilities_Resets!$I27-Volatilities_Resets!$G27)/50)*((Calculator!BN38-Calculator!BP$2)*10000)+Volatilities_Resets!$G27)),"Well, something broke...")))))))))))/10000</f>
        <v>1.3854E-2</v>
      </c>
      <c r="BQ38" s="84">
        <f t="shared" ca="1" si="35"/>
        <v>8589.0623763134445</v>
      </c>
      <c r="BR38" s="84">
        <f t="shared" ca="1" si="36"/>
        <v>3.4762135104672912E-4</v>
      </c>
      <c r="BS38" s="84">
        <f t="shared" ca="1" si="47"/>
        <v>226578.42784263566</v>
      </c>
      <c r="BT38" s="84">
        <f ca="1">SUM(BQ27:BQ38)</f>
        <v>107381.1449606729</v>
      </c>
      <c r="BU38" s="49"/>
      <c r="BV38" s="84">
        <f t="shared" ca="1" si="37"/>
        <v>91.882449311219986</v>
      </c>
      <c r="BW38" s="84">
        <f ca="1">SUM($BV$15:BV38)</f>
        <v>1587.0604279773238</v>
      </c>
      <c r="BY38" s="52">
        <f ca="1">EXP(-AVERAGE(BO$15:BO38)*BL38)</f>
        <v>0.90550095339882142</v>
      </c>
      <c r="CA38" s="75">
        <f t="shared" ca="1" si="38"/>
        <v>24</v>
      </c>
      <c r="CB38" s="76">
        <f t="shared" ca="1" si="39"/>
        <v>45891</v>
      </c>
      <c r="CC38" s="76">
        <f t="shared" ca="1" si="12"/>
        <v>45922</v>
      </c>
      <c r="CD38" s="77">
        <f t="shared" ca="1" si="13"/>
        <v>31</v>
      </c>
      <c r="CE38" s="78">
        <f ca="1">SUM(CD$15:CD38)/360</f>
        <v>2.0305555555555554</v>
      </c>
      <c r="CF38" s="79">
        <f t="shared" si="14"/>
        <v>25000000</v>
      </c>
      <c r="CG38" s="80">
        <f t="shared" si="40"/>
        <v>0.06</v>
      </c>
      <c r="CH38" s="81">
        <f>Volatilities_Resets!$E27*0.01</f>
        <v>4.16833E-2</v>
      </c>
      <c r="CI38" s="82">
        <f>IF(CG38=CJ$11,Volatilities_Resets!$AA27,IF(CG38&gt;=CI$11,IF(CG38&lt;CJ$11,(((Volatilities_Resets!$AA27-Volatilities_Resets!$Y27)/50)*((Calculator!CG38-Calculator!CI$11)*10000)+Volatilities_Resets!$Y27)),IF(CG38&gt;=CI$10,IF(CG38&lt;CJ$10,(((Volatilities_Resets!$Y27-Volatilities_Resets!$W27)/50)*((Calculator!CG38-Calculator!CI$10)*10000)+Volatilities_Resets!$W27)),IF(CG38&gt;=CI$9,IF(CG38&lt;CJ$9,(((Volatilities_Resets!$W27-Volatilities_Resets!$U27)/50)*((Calculator!CG38-Calculator!CI$9)*10000)+Volatilities_Resets!$U27)),IF(CG38&gt;=CI$8,IF(CG38&lt;CJ$8,(((Volatilities_Resets!$U27-Volatilities_Resets!$S27)/50)*((Calculator!CG38-Calculator!CI$8)*10000)+Volatilities_Resets!$S27)),IF(CG38&gt;=CI$7,IF(CG38&lt;CJ$7,(((Volatilities_Resets!$S27-Volatilities_Resets!$Q27)/50)*((Calculator!CG38-Calculator!CI$7)*10000)+Volatilities_Resets!$Q27)),IF(CG38&gt;=CI$6,IF(CG38&lt;CJ$6,(((Volatilities_Resets!$Q27-Volatilities_Resets!$O27)/50)*((Calculator!CG38-Calculator!CI$6)*10000)+Volatilities_Resets!$O27)),IF(CG38&gt;=CI$5,IF(CG38&lt;CJ$5,(((Volatilities_Resets!$O27-Volatilities_Resets!$M27)/50)*((Calculator!CG38-Calculator!CI$5)*10000)+Volatilities_Resets!$M27)),IF(CG38&gt;=CI$4,IF(CG38&lt;CJ$4,(((Volatilities_Resets!$M27-Volatilities_Resets!$K27)/50)*((Calculator!CG38-Calculator!CI$4)*10000)+Volatilities_Resets!$K27)),IF(CG38&gt;=CI$3,IF(CG38&lt;CJ$3,(((Volatilities_Resets!$K27-Volatilities_Resets!$I27)/50)*((Calculator!CG38-Calculator!CI$3)*10000)+Volatilities_Resets!$I27)),IF(CG38&gt;=CI$2,IF(CG38&lt;CJ$2,(((Volatilities_Resets!$I27-Volatilities_Resets!$G27)/50)*((Calculator!CG38-Calculator!CI$2)*10000)+Volatilities_Resets!$G27)),"Well, something broke...")))))))))))/10000</f>
        <v>1.3481E-2</v>
      </c>
      <c r="CJ38" s="84">
        <f t="shared" ca="1" si="41"/>
        <v>3406.173560826061</v>
      </c>
      <c r="CK38" s="84">
        <f t="shared" ca="1" si="42"/>
        <v>1.3906987641334825E-4</v>
      </c>
      <c r="CL38" s="84">
        <f t="shared" ca="1" si="48"/>
        <v>46253.691979892166</v>
      </c>
      <c r="CM38" s="84">
        <f ca="1">SUM(CJ27:CJ38)</f>
        <v>37623.87240664757</v>
      </c>
      <c r="CN38" s="49"/>
      <c r="CO38" s="84">
        <f t="shared" ca="1" si="43"/>
        <v>63.904235263721006</v>
      </c>
      <c r="CP38" s="84">
        <f ca="1">SUM($CO$15:CO38)</f>
        <v>1021.220178480605</v>
      </c>
      <c r="CR38" s="52">
        <f ca="1">EXP(-AVERAGE(CH$15:CH38)*CE38)</f>
        <v>0.90550095339882142</v>
      </c>
      <c r="CT38"/>
      <c r="CU38"/>
      <c r="CV38"/>
      <c r="CW38"/>
      <c r="CX38"/>
      <c r="CY38"/>
      <c r="CZ38"/>
      <c r="DA38"/>
      <c r="DB38"/>
      <c r="DC38"/>
      <c r="DD38"/>
      <c r="DE38"/>
      <c r="DF38"/>
      <c r="DG38"/>
      <c r="DH38"/>
      <c r="DI38"/>
      <c r="DJ38"/>
      <c r="DK38"/>
      <c r="DL38"/>
    </row>
    <row r="39" spans="2:116" ht="15.75" customHeight="1" x14ac:dyDescent="0.2">
      <c r="B39" s="52">
        <v>3</v>
      </c>
      <c r="C39" s="52">
        <f t="shared" ca="1" si="15"/>
        <v>25</v>
      </c>
      <c r="D39" s="71">
        <f t="shared" ca="1" si="16"/>
        <v>45922</v>
      </c>
      <c r="E39" s="71">
        <f t="shared" ca="1" si="0"/>
        <v>45952</v>
      </c>
      <c r="F39" s="72">
        <f t="shared" ca="1" si="1"/>
        <v>30</v>
      </c>
      <c r="G39" s="73">
        <f ca="1">SUM($F$15:F39)/360</f>
        <v>2.1138888888888889</v>
      </c>
      <c r="H39" s="74">
        <f t="shared" si="2"/>
        <v>25000000</v>
      </c>
      <c r="I39" s="59">
        <f>IF('Cap Pricer'!$E$22=DataValidation!$C$2,'Cap Pricer'!$E$23,IF('Cap Pricer'!$E$22=DataValidation!$C$3,VLOOKUP($B39,'Cap Pricer'!$C$25:$E$31,3),""))</f>
        <v>0.02</v>
      </c>
      <c r="J39" s="57">
        <f>Volatilities_Resets!$E28*0.01</f>
        <v>3.9167200000000006E-2</v>
      </c>
      <c r="K39" s="61">
        <f>IF(I39=L$11,Volatilities_Resets!$AA28,IF(I39&gt;=K$11,IF(I39&lt;L$11,(((Volatilities_Resets!$AA28-Volatilities_Resets!$Y28)/50)*((Calculator!I39-Calculator!K$11)*10000)+Volatilities_Resets!$Y28)),IF(I39&gt;=K$10,IF(I39&lt;L$10,(((Volatilities_Resets!$Y28-Volatilities_Resets!$W28)/50)*((Calculator!I39-Calculator!K$10)*10000)+Volatilities_Resets!$W28)),IF(I39&gt;=K$9,IF(I39&lt;L$9,(((Volatilities_Resets!$W28-Volatilities_Resets!$U28)/50)*((Calculator!I39-Calculator!K$9)*10000)+Volatilities_Resets!$U28)),IF(I39&gt;=K$8,IF(I39&lt;L$8,(((Volatilities_Resets!$U28-Volatilities_Resets!$S28)/50)*((Calculator!I39-Calculator!K$8)*10000)+Volatilities_Resets!$S28)),IF(I39&gt;=K$7,IF(I39&lt;L$7,(((Volatilities_Resets!$S28-Volatilities_Resets!$Q28)/50)*((Calculator!I39-Calculator!K$7)*10000)+Volatilities_Resets!$Q28)),IF(I39&gt;=K$6,IF(I39&lt;L$6,(((Volatilities_Resets!$Q28-Volatilities_Resets!$O28)/50)*((Calculator!I39-Calculator!K$6)*10000)+Volatilities_Resets!$O28)),IF(I39&gt;=K$5,IF(I39&lt;L$5,(((Volatilities_Resets!$O28-Volatilities_Resets!$M28)/50)*((Calculator!I39-Calculator!K$5)*10000)+Volatilities_Resets!$M28)),IF(I39&gt;=K$4,IF(I39&lt;L$4,(((Volatilities_Resets!$M28-Volatilities_Resets!$K28)/50)*((Calculator!I39-Calculator!K$4)*10000)+Volatilities_Resets!$K28)),IF(I39&gt;=K$3,IF(I39&lt;L$3,(((Volatilities_Resets!$K28-Volatilities_Resets!$I28)/50)*((Calculator!I39-Calculator!K$3)*10000)+Volatilities_Resets!$I28)),IF(I39&gt;=K$2,IF(I39&lt;L$2,(((Volatilities_Resets!$I28-Volatilities_Resets!$G28)/50)*((Calculator!I39-Calculator!K$2)*10000)+Volatilities_Resets!$G28)),"Well, something broke...")))))))))))/10000</f>
        <v>1.7118000000000001E-2</v>
      </c>
      <c r="L39" s="47">
        <f t="shared" ca="1" si="17"/>
        <v>41968.48169828581</v>
      </c>
      <c r="M39" s="63">
        <f t="shared" ca="1" si="18"/>
        <v>1.6819879280782371E-3</v>
      </c>
      <c r="N39" s="63">
        <f t="shared" ca="1" si="44"/>
        <v>1503181.1130570027</v>
      </c>
      <c r="Q39" s="63">
        <f t="shared" ca="1" si="19"/>
        <v>73.302848636928076</v>
      </c>
      <c r="R39" s="63">
        <f ca="1">SUM($Q$15:Q39)</f>
        <v>887.54723270099385</v>
      </c>
      <c r="T39" s="52">
        <f ca="1">EXP(-AVERAGE(J$15:J39)*G39)</f>
        <v>0.90256099837373838</v>
      </c>
      <c r="U39" s="57"/>
      <c r="V39" s="52">
        <f t="shared" ca="1" si="20"/>
        <v>25</v>
      </c>
      <c r="W39" s="71">
        <f t="shared" ca="1" si="21"/>
        <v>45922</v>
      </c>
      <c r="X39" s="71">
        <f t="shared" ca="1" si="3"/>
        <v>45952</v>
      </c>
      <c r="Y39" s="72">
        <f t="shared" ca="1" si="4"/>
        <v>30</v>
      </c>
      <c r="Z39" s="73">
        <f ca="1">SUM(Y$15:Y39)/360</f>
        <v>2.1138888888888889</v>
      </c>
      <c r="AA39" s="74">
        <f t="shared" si="22"/>
        <v>25000000</v>
      </c>
      <c r="AB39" s="59">
        <f t="shared" si="23"/>
        <v>0.03</v>
      </c>
      <c r="AC39" s="57">
        <f>Volatilities_Resets!$E28*0.01</f>
        <v>3.9167200000000006E-2</v>
      </c>
      <c r="AD39" s="61">
        <f>IF(AB39=AE$11,Volatilities_Resets!$AA28,IF(AB39&gt;=AD$11,IF(AB39&lt;AE$11,(((Volatilities_Resets!$AA28-Volatilities_Resets!$Y28)/50)*((Calculator!AB39-Calculator!AD$11)*10000)+Volatilities_Resets!$Y28)),IF(AB39&gt;=AD$10,IF(AB39&lt;AE$10,(((Volatilities_Resets!$Y28-Volatilities_Resets!$W28)/50)*((Calculator!AB39-Calculator!AD$10)*10000)+Volatilities_Resets!$W28)),IF(AB39&gt;=AD$9,IF(AB39&lt;AE$9,(((Volatilities_Resets!$W28-Volatilities_Resets!$U28)/50)*((Calculator!AB39-Calculator!AD$9)*10000)+Volatilities_Resets!$U28)),IF(AB39&gt;=AD$8,IF(AB39&lt;AE$8,(((Volatilities_Resets!$U28-Volatilities_Resets!$S28)/50)*((Calculator!AB39-Calculator!AD$8)*10000)+Volatilities_Resets!$S28)),IF(AB39&gt;=AD$7,IF(AB39&lt;AE$7,(((Volatilities_Resets!$S28-Volatilities_Resets!$Q28)/50)*((Calculator!AB39-Calculator!AD$7)*10000)+Volatilities_Resets!$Q28)),IF(AB39&gt;=AD$6,IF(AB39&lt;AE$6,(((Volatilities_Resets!$Q28-Volatilities_Resets!$O28)/50)*((Calculator!AB39-Calculator!AD$6)*10000)+Volatilities_Resets!$O28)),IF(AB39&gt;=AD$5,IF(AB39&lt;AE$5,(((Volatilities_Resets!$O28-Volatilities_Resets!$M28)/50)*((Calculator!AB39-Calculator!AD$5)*10000)+Volatilities_Resets!$M28)),IF(AB39&gt;=AD$4,IF(AB39&lt;AE$4,(((Volatilities_Resets!$M28-Volatilities_Resets!$K28)/50)*((Calculator!AB39-Calculator!AD$4)*10000)+Volatilities_Resets!$K28)),IF(AB39&gt;=AD$3,IF(AB39&lt;AE$3,(((Volatilities_Resets!$K28-Volatilities_Resets!$I28)/50)*((Calculator!AB39-Calculator!AD$3)*10000)+Volatilities_Resets!$I28)),IF(AB39&gt;=AD$2,IF(AB39&lt;AE$2,(((Volatilities_Resets!$I28-Volatilities_Resets!$G28)/50)*((Calculator!AB39-Calculator!AD$2)*10000)+Volatilities_Resets!$G28)),"Well, something broke...")))))))))))/10000</f>
        <v>1.6480000000000002E-2</v>
      </c>
      <c r="AE39" s="63">
        <f t="shared" ca="1" si="24"/>
        <v>27892.345640629821</v>
      </c>
      <c r="AF39" s="63">
        <f t="shared" ca="1" si="25"/>
        <v>1.1197503354385783E-3</v>
      </c>
      <c r="AG39" s="63">
        <f t="shared" ca="1" si="45"/>
        <v>1042491.0566344846</v>
      </c>
      <c r="AJ39" s="63">
        <f t="shared" ca="1" si="26"/>
        <v>91.531188677050125</v>
      </c>
      <c r="AK39" s="63">
        <f ca="1">SUM($AJ$15:AJ39)</f>
        <v>1157.7435637292037</v>
      </c>
      <c r="AM39" s="52">
        <f ca="1">EXP(-AVERAGE(AC$15:AC39)*Z39)</f>
        <v>0.90256099837373838</v>
      </c>
      <c r="AO39" s="52">
        <f t="shared" ca="1" si="27"/>
        <v>25</v>
      </c>
      <c r="AP39" s="71">
        <f t="shared" ca="1" si="28"/>
        <v>45922</v>
      </c>
      <c r="AQ39" s="71">
        <f t="shared" ca="1" si="5"/>
        <v>45952</v>
      </c>
      <c r="AR39" s="72">
        <f t="shared" ca="1" si="6"/>
        <v>30</v>
      </c>
      <c r="AS39" s="73">
        <f ca="1">SUM(AR$15:AR39)/360</f>
        <v>2.1138888888888889</v>
      </c>
      <c r="AT39" s="74">
        <f t="shared" si="7"/>
        <v>25000000</v>
      </c>
      <c r="AU39" s="59">
        <f t="shared" si="29"/>
        <v>0.04</v>
      </c>
      <c r="AV39" s="57">
        <f>Volatilities_Resets!$E28*0.01</f>
        <v>3.9167200000000006E-2</v>
      </c>
      <c r="AW39" s="61">
        <f>IF(AU39=AX$11,Volatilities_Resets!$AA28,IF(AU39&gt;=AW$11,IF(AU39&lt;AX$11,(((Volatilities_Resets!$AA28-Volatilities_Resets!$Y28)/50)*((Calculator!AU39-Calculator!AW$11)*10000)+Volatilities_Resets!$Y28)),IF(AU39&gt;=AW$10,IF(AU39&lt;AX$10,(((Volatilities_Resets!$Y28-Volatilities_Resets!$W28)/50)*((Calculator!AU39-Calculator!AW$10)*10000)+Volatilities_Resets!$W28)),IF(AU39&gt;=AW$9,IF(AU39&lt;AX$9,(((Volatilities_Resets!$W28-Volatilities_Resets!$U28)/50)*((Calculator!AU39-Calculator!AW$9)*10000)+Volatilities_Resets!$U28)),IF(AU39&gt;=AW$8,IF(AU39&lt;AX$8,(((Volatilities_Resets!$U28-Volatilities_Resets!$S28)/50)*((Calculator!AU39-Calculator!AW$8)*10000)+Volatilities_Resets!$S28)),IF(AU39&gt;=AW$7,IF(AU39&lt;AX$7,(((Volatilities_Resets!$S28-Volatilities_Resets!$Q28)/50)*((Calculator!AU39-Calculator!AW$7)*10000)+Volatilities_Resets!$Q28)),IF(AU39&gt;=AW$6,IF(AU39&lt;AX$6,(((Volatilities_Resets!$Q28-Volatilities_Resets!$O28)/50)*((Calculator!AU39-Calculator!AW$6)*10000)+Volatilities_Resets!$O28)),IF(AU39&gt;=AW$5,IF(AU39&lt;AX$5,(((Volatilities_Resets!$O28-Volatilities_Resets!$M28)/50)*((Calculator!AU39-Calculator!AW$5)*10000)+Volatilities_Resets!$M28)),IF(AU39&gt;=AW$4,IF(AU39&lt;AX$4,(((Volatilities_Resets!$M28-Volatilities_Resets!$K28)/50)*((Calculator!AU39-Calculator!AW$4)*10000)+Volatilities_Resets!$K28)),IF(AU39&gt;=AW$3,IF(AU39&lt;AX$3,(((Volatilities_Resets!$K28-Volatilities_Resets!$I28)/50)*((Calculator!AU39-Calculator!AW$3)*10000)+Volatilities_Resets!$I28)),IF(AU39&gt;=AW$2,IF(AU39&lt;AX$2,(((Volatilities_Resets!$I28-Volatilities_Resets!$G28)/50)*((Calculator!AU39-Calculator!AW$2)*10000)+Volatilities_Resets!$G28)),"Well, something broke...")))))))))))/10000</f>
        <v>1.5259999999999999E-2</v>
      </c>
      <c r="AX39" s="63">
        <f t="shared" ca="1" si="30"/>
        <v>15872.111477262881</v>
      </c>
      <c r="AY39" s="63">
        <f t="shared" ca="1" si="31"/>
        <v>6.3924401755863789E-4</v>
      </c>
      <c r="AZ39" s="63">
        <f t="shared" ca="1" si="46"/>
        <v>603086.62300264928</v>
      </c>
      <c r="BC39" s="63">
        <f t="shared" ca="1" si="8"/>
        <v>98.369186086436869</v>
      </c>
      <c r="BD39" s="63">
        <f ca="1">SUM($BC$15:BC39)</f>
        <v>1432.8105720957928</v>
      </c>
      <c r="BF39" s="52">
        <f ca="1">EXP(-AVERAGE(AV$15:AV39)*AS39)</f>
        <v>0.90256099837373838</v>
      </c>
      <c r="BH39" s="52">
        <f t="shared" ca="1" si="32"/>
        <v>25</v>
      </c>
      <c r="BI39" s="71">
        <f t="shared" ca="1" si="33"/>
        <v>45922</v>
      </c>
      <c r="BJ39" s="71">
        <f t="shared" ca="1" si="9"/>
        <v>45952</v>
      </c>
      <c r="BK39" s="72">
        <f t="shared" ca="1" si="10"/>
        <v>30</v>
      </c>
      <c r="BL39" s="73">
        <f ca="1">SUM(BK$15:BK39)/360</f>
        <v>2.1138888888888889</v>
      </c>
      <c r="BM39" s="74">
        <f t="shared" si="11"/>
        <v>25000000</v>
      </c>
      <c r="BN39" s="59">
        <f t="shared" si="34"/>
        <v>0.05</v>
      </c>
      <c r="BO39" s="57">
        <f>Volatilities_Resets!$E28*0.01</f>
        <v>3.9167200000000006E-2</v>
      </c>
      <c r="BP39" s="61">
        <f>IF(BN39=BQ$11,Volatilities_Resets!$AA28,IF(BN39&gt;=BP$11,IF(BN39&lt;BQ$11,(((Volatilities_Resets!$AA28-Volatilities_Resets!$Y28)/50)*((Calculator!BN39-Calculator!BP$11)*10000)+Volatilities_Resets!$Y28)),IF(BN39&gt;=BP$10,IF(BN39&lt;BQ$10,(((Volatilities_Resets!$Y28-Volatilities_Resets!$W28)/50)*((Calculator!BN39-Calculator!BP$10)*10000)+Volatilities_Resets!$W28)),IF(BN39&gt;=BP$9,IF(BN39&lt;BQ$9,(((Volatilities_Resets!$W28-Volatilities_Resets!$U28)/50)*((Calculator!BN39-Calculator!BP$9)*10000)+Volatilities_Resets!$U28)),IF(BN39&gt;=BP$8,IF(BN39&lt;BQ$8,(((Volatilities_Resets!$U28-Volatilities_Resets!$S28)/50)*((Calculator!BN39-Calculator!BP$8)*10000)+Volatilities_Resets!$S28)),IF(BN39&gt;=BP$7,IF(BN39&lt;BQ$7,(((Volatilities_Resets!$S28-Volatilities_Resets!$Q28)/50)*((Calculator!BN39-Calculator!BP$7)*10000)+Volatilities_Resets!$Q28)),IF(BN39&gt;=BP$6,IF(BN39&lt;BQ$6,(((Volatilities_Resets!$Q28-Volatilities_Resets!$O28)/50)*((Calculator!BN39-Calculator!BP$6)*10000)+Volatilities_Resets!$O28)),IF(BN39&gt;=BP$5,IF(BN39&lt;BQ$5,(((Volatilities_Resets!$O28-Volatilities_Resets!$M28)/50)*((Calculator!BN39-Calculator!BP$5)*10000)+Volatilities_Resets!$M28)),IF(BN39&gt;=BP$4,IF(BN39&lt;BQ$4,(((Volatilities_Resets!$M28-Volatilities_Resets!$K28)/50)*((Calculator!BN39-Calculator!BP$4)*10000)+Volatilities_Resets!$K28)),IF(BN39&gt;=BP$3,IF(BN39&lt;BQ$3,(((Volatilities_Resets!$K28-Volatilities_Resets!$I28)/50)*((Calculator!BN39-Calculator!BP$3)*10000)+Volatilities_Resets!$I28)),IF(BN39&gt;=BP$2,IF(BN39&lt;BQ$2,(((Volatilities_Resets!$I28-Volatilities_Resets!$G28)/50)*((Calculator!BN39-Calculator!BP$2)*10000)+Volatilities_Resets!$G28)),"Well, something broke...")))))))))))/10000</f>
        <v>1.4703000000000001E-2</v>
      </c>
      <c r="BQ39" s="63">
        <f t="shared" ca="1" si="35"/>
        <v>7867.2314488434595</v>
      </c>
      <c r="BR39" s="63">
        <f t="shared" ca="1" si="36"/>
        <v>3.1852951929947886E-4</v>
      </c>
      <c r="BS39" s="63">
        <f t="shared" ca="1" si="47"/>
        <v>234445.65929147913</v>
      </c>
      <c r="BV39" s="63">
        <f t="shared" ca="1" si="37"/>
        <v>86.65175285569002</v>
      </c>
      <c r="BW39" s="63">
        <f ca="1">SUM($BV$15:BV39)</f>
        <v>1673.7121808330139</v>
      </c>
      <c r="BY39" s="52">
        <f ca="1">EXP(-AVERAGE(BO$15:BO39)*BL39)</f>
        <v>0.90256099837373838</v>
      </c>
      <c r="CA39" s="52">
        <f t="shared" ca="1" si="38"/>
        <v>25</v>
      </c>
      <c r="CB39" s="71">
        <f t="shared" ca="1" si="39"/>
        <v>45922</v>
      </c>
      <c r="CC39" s="71">
        <f t="shared" ca="1" si="12"/>
        <v>45952</v>
      </c>
      <c r="CD39" s="72">
        <f t="shared" ca="1" si="13"/>
        <v>30</v>
      </c>
      <c r="CE39" s="73">
        <f ca="1">SUM(CD$15:CD39)/360</f>
        <v>2.1138888888888889</v>
      </c>
      <c r="CF39" s="74">
        <f t="shared" si="14"/>
        <v>25000000</v>
      </c>
      <c r="CG39" s="59">
        <f t="shared" si="40"/>
        <v>0.06</v>
      </c>
      <c r="CH39" s="57">
        <f>Volatilities_Resets!$E28*0.01</f>
        <v>3.9167200000000006E-2</v>
      </c>
      <c r="CI39" s="61">
        <f>IF(CG39=CJ$11,Volatilities_Resets!$AA28,IF(CG39&gt;=CI$11,IF(CG39&lt;CJ$11,(((Volatilities_Resets!$AA28-Volatilities_Resets!$Y28)/50)*((Calculator!CG39-Calculator!CI$11)*10000)+Volatilities_Resets!$Y28)),IF(CG39&gt;=CI$10,IF(CG39&lt;CJ$10,(((Volatilities_Resets!$Y28-Volatilities_Resets!$W28)/50)*((Calculator!CG39-Calculator!CI$10)*10000)+Volatilities_Resets!$W28)),IF(CG39&gt;=CI$9,IF(CG39&lt;CJ$9,(((Volatilities_Resets!$W28-Volatilities_Resets!$U28)/50)*((Calculator!CG39-Calculator!CI$9)*10000)+Volatilities_Resets!$U28)),IF(CG39&gt;=CI$8,IF(CG39&lt;CJ$8,(((Volatilities_Resets!$U28-Volatilities_Resets!$S28)/50)*((Calculator!CG39-Calculator!CI$8)*10000)+Volatilities_Resets!$S28)),IF(CG39&gt;=CI$7,IF(CG39&lt;CJ$7,(((Volatilities_Resets!$S28-Volatilities_Resets!$Q28)/50)*((Calculator!CG39-Calculator!CI$7)*10000)+Volatilities_Resets!$Q28)),IF(CG39&gt;=CI$6,IF(CG39&lt;CJ$6,(((Volatilities_Resets!$Q28-Volatilities_Resets!$O28)/50)*((Calculator!CG39-Calculator!CI$6)*10000)+Volatilities_Resets!$O28)),IF(CG39&gt;=CI$5,IF(CG39&lt;CJ$5,(((Volatilities_Resets!$O28-Volatilities_Resets!$M28)/50)*((Calculator!CG39-Calculator!CI$5)*10000)+Volatilities_Resets!$M28)),IF(CG39&gt;=CI$4,IF(CG39&lt;CJ$4,(((Volatilities_Resets!$M28-Volatilities_Resets!$K28)/50)*((Calculator!CG39-Calculator!CI$4)*10000)+Volatilities_Resets!$K28)),IF(CG39&gt;=CI$3,IF(CG39&lt;CJ$3,(((Volatilities_Resets!$K28-Volatilities_Resets!$I28)/50)*((Calculator!CG39-Calculator!CI$3)*10000)+Volatilities_Resets!$I28)),IF(CG39&gt;=CI$2,IF(CG39&lt;CJ$2,(((Volatilities_Resets!$I28-Volatilities_Resets!$G28)/50)*((Calculator!CG39-Calculator!CI$2)*10000)+Volatilities_Resets!$G28)),"Well, something broke...")))))))))))/10000</f>
        <v>1.5630000000000002E-2</v>
      </c>
      <c r="CJ39" s="63">
        <f t="shared" ca="1" si="41"/>
        <v>4161.3503489174946</v>
      </c>
      <c r="CK39" s="63">
        <f t="shared" ca="1" si="42"/>
        <v>1.6932752428429606E-4</v>
      </c>
      <c r="CL39" s="63">
        <f t="shared" ca="1" si="48"/>
        <v>50415.042328809664</v>
      </c>
      <c r="CO39" s="63">
        <f t="shared" ca="1" si="43"/>
        <v>64.837958752813819</v>
      </c>
      <c r="CP39" s="63">
        <f ca="1">SUM($CO$15:CO39)</f>
        <v>1086.0581372334188</v>
      </c>
      <c r="CR39" s="52">
        <f ca="1">EXP(-AVERAGE(CH$15:CH39)*CE39)</f>
        <v>0.90256099837373838</v>
      </c>
      <c r="CT39"/>
      <c r="CU39"/>
      <c r="CV39"/>
      <c r="CW39"/>
      <c r="CX39"/>
      <c r="CY39"/>
      <c r="CZ39"/>
      <c r="DA39"/>
      <c r="DB39"/>
      <c r="DC39"/>
      <c r="DD39"/>
      <c r="DE39"/>
      <c r="DF39"/>
      <c r="DG39"/>
      <c r="DH39"/>
      <c r="DI39"/>
      <c r="DJ39"/>
      <c r="DK39"/>
      <c r="DL39"/>
    </row>
    <row r="40" spans="2:116" ht="15.75" customHeight="1" x14ac:dyDescent="0.2">
      <c r="B40" s="52">
        <v>3</v>
      </c>
      <c r="C40" s="52">
        <f t="shared" ca="1" si="15"/>
        <v>26</v>
      </c>
      <c r="D40" s="71">
        <f t="shared" ca="1" si="16"/>
        <v>45952</v>
      </c>
      <c r="E40" s="71">
        <f t="shared" ca="1" si="0"/>
        <v>45983</v>
      </c>
      <c r="F40" s="72">
        <f t="shared" ca="1" si="1"/>
        <v>31</v>
      </c>
      <c r="G40" s="73">
        <f ca="1">SUM($F$15:F40)/360</f>
        <v>2.2000000000000002</v>
      </c>
      <c r="H40" s="74">
        <f t="shared" si="2"/>
        <v>25000000</v>
      </c>
      <c r="I40" s="59">
        <f>IF('Cap Pricer'!$E$22=DataValidation!$C$2,'Cap Pricer'!$E$23,IF('Cap Pricer'!$E$22=DataValidation!$C$3,VLOOKUP($B40,'Cap Pricer'!$C$25:$E$31,3),""))</f>
        <v>0.02</v>
      </c>
      <c r="J40" s="57">
        <f>Volatilities_Resets!$E29*0.01</f>
        <v>3.8540899999999996E-2</v>
      </c>
      <c r="K40" s="61">
        <f>IF(I40=L$11,Volatilities_Resets!$AA29,IF(I40&gt;=K$11,IF(I40&lt;L$11,(((Volatilities_Resets!$AA29-Volatilities_Resets!$Y29)/50)*((Calculator!I40-Calculator!K$11)*10000)+Volatilities_Resets!$Y29)),IF(I40&gt;=K$10,IF(I40&lt;L$10,(((Volatilities_Resets!$Y29-Volatilities_Resets!$W29)/50)*((Calculator!I40-Calculator!K$10)*10000)+Volatilities_Resets!$W29)),IF(I40&gt;=K$9,IF(I40&lt;L$9,(((Volatilities_Resets!$W29-Volatilities_Resets!$U29)/50)*((Calculator!I40-Calculator!K$9)*10000)+Volatilities_Resets!$U29)),IF(I40&gt;=K$8,IF(I40&lt;L$8,(((Volatilities_Resets!$U29-Volatilities_Resets!$S29)/50)*((Calculator!I40-Calculator!K$8)*10000)+Volatilities_Resets!$S29)),IF(I40&gt;=K$7,IF(I40&lt;L$7,(((Volatilities_Resets!$S29-Volatilities_Resets!$Q29)/50)*((Calculator!I40-Calculator!K$7)*10000)+Volatilities_Resets!$Q29)),IF(I40&gt;=K$6,IF(I40&lt;L$6,(((Volatilities_Resets!$Q29-Volatilities_Resets!$O29)/50)*((Calculator!I40-Calculator!K$6)*10000)+Volatilities_Resets!$O29)),IF(I40&gt;=K$5,IF(I40&lt;L$5,(((Volatilities_Resets!$O29-Volatilities_Resets!$M29)/50)*((Calculator!I40-Calculator!K$5)*10000)+Volatilities_Resets!$M29)),IF(I40&gt;=K$4,IF(I40&lt;L$4,(((Volatilities_Resets!$M29-Volatilities_Resets!$K29)/50)*((Calculator!I40-Calculator!K$4)*10000)+Volatilities_Resets!$K29)),IF(I40&gt;=K$3,IF(I40&lt;L$3,(((Volatilities_Resets!$K29-Volatilities_Resets!$I29)/50)*((Calculator!I40-Calculator!K$3)*10000)+Volatilities_Resets!$I29)),IF(I40&gt;=K$2,IF(I40&lt;L$2,(((Volatilities_Resets!$I29-Volatilities_Resets!$G29)/50)*((Calculator!I40-Calculator!K$2)*10000)+Volatilities_Resets!$G29)),"Well, something broke...")))))))))))/10000</f>
        <v>1.7118999999999999E-2</v>
      </c>
      <c r="L40" s="47">
        <f t="shared" ca="1" si="17"/>
        <v>42578.631415415337</v>
      </c>
      <c r="M40" s="63">
        <f t="shared" ca="1" si="18"/>
        <v>1.7066616799307664E-3</v>
      </c>
      <c r="N40" s="63">
        <f t="shared" ca="1" si="44"/>
        <v>1545759.744472418</v>
      </c>
      <c r="Q40" s="63">
        <f t="shared" ca="1" si="19"/>
        <v>79.08059312387411</v>
      </c>
      <c r="R40" s="63">
        <f ca="1">SUM($Q$15:Q40)</f>
        <v>966.62782582486795</v>
      </c>
      <c r="T40" s="52">
        <f ca="1">EXP(-AVERAGE(J$15:J40)*G40)</f>
        <v>0.89955714723640567</v>
      </c>
      <c r="U40" s="57"/>
      <c r="V40" s="52">
        <f t="shared" ca="1" si="20"/>
        <v>26</v>
      </c>
      <c r="W40" s="71">
        <f t="shared" ca="1" si="21"/>
        <v>45952</v>
      </c>
      <c r="X40" s="71">
        <f t="shared" ca="1" si="3"/>
        <v>45983</v>
      </c>
      <c r="Y40" s="72">
        <f t="shared" ca="1" si="4"/>
        <v>31</v>
      </c>
      <c r="Z40" s="73">
        <f ca="1">SUM(Y$15:Y40)/360</f>
        <v>2.2000000000000002</v>
      </c>
      <c r="AA40" s="74">
        <f t="shared" si="22"/>
        <v>25000000</v>
      </c>
      <c r="AB40" s="59">
        <f t="shared" si="23"/>
        <v>0.03</v>
      </c>
      <c r="AC40" s="57">
        <f>Volatilities_Resets!$E29*0.01</f>
        <v>3.8540899999999996E-2</v>
      </c>
      <c r="AD40" s="61">
        <f>IF(AB40=AE$11,Volatilities_Resets!$AA29,IF(AB40&gt;=AD$11,IF(AB40&lt;AE$11,(((Volatilities_Resets!$AA29-Volatilities_Resets!$Y29)/50)*((Calculator!AB40-Calculator!AD$11)*10000)+Volatilities_Resets!$Y29)),IF(AB40&gt;=AD$10,IF(AB40&lt;AE$10,(((Volatilities_Resets!$Y29-Volatilities_Resets!$W29)/50)*((Calculator!AB40-Calculator!AD$10)*10000)+Volatilities_Resets!$W29)),IF(AB40&gt;=AD$9,IF(AB40&lt;AE$9,(((Volatilities_Resets!$W29-Volatilities_Resets!$U29)/50)*((Calculator!AB40-Calculator!AD$9)*10000)+Volatilities_Resets!$U29)),IF(AB40&gt;=AD$8,IF(AB40&lt;AE$8,(((Volatilities_Resets!$U29-Volatilities_Resets!$S29)/50)*((Calculator!AB40-Calculator!AD$8)*10000)+Volatilities_Resets!$S29)),IF(AB40&gt;=AD$7,IF(AB40&lt;AE$7,(((Volatilities_Resets!$S29-Volatilities_Resets!$Q29)/50)*((Calculator!AB40-Calculator!AD$7)*10000)+Volatilities_Resets!$Q29)),IF(AB40&gt;=AD$6,IF(AB40&lt;AE$6,(((Volatilities_Resets!$Q29-Volatilities_Resets!$O29)/50)*((Calculator!AB40-Calculator!AD$6)*10000)+Volatilities_Resets!$O29)),IF(AB40&gt;=AD$5,IF(AB40&lt;AE$5,(((Volatilities_Resets!$O29-Volatilities_Resets!$M29)/50)*((Calculator!AB40-Calculator!AD$5)*10000)+Volatilities_Resets!$M29)),IF(AB40&gt;=AD$4,IF(AB40&lt;AE$4,(((Volatilities_Resets!$M29-Volatilities_Resets!$K29)/50)*((Calculator!AB40-Calculator!AD$4)*10000)+Volatilities_Resets!$K29)),IF(AB40&gt;=AD$3,IF(AB40&lt;AE$3,(((Volatilities_Resets!$K29-Volatilities_Resets!$I29)/50)*((Calculator!AB40-Calculator!AD$3)*10000)+Volatilities_Resets!$I29)),IF(AB40&gt;=AD$2,IF(AB40&lt;AE$2,(((Volatilities_Resets!$I29-Volatilities_Resets!$G29)/50)*((Calculator!AB40-Calculator!AD$2)*10000)+Volatilities_Resets!$G29)),"Well, something broke...")))))))))))/10000</f>
        <v>1.6480000000000002E-2</v>
      </c>
      <c r="AE40" s="63">
        <f t="shared" ca="1" si="24"/>
        <v>28295.666868826152</v>
      </c>
      <c r="AF40" s="63">
        <f t="shared" ca="1" si="25"/>
        <v>1.1361404584326932E-3</v>
      </c>
      <c r="AG40" s="63">
        <f t="shared" ca="1" si="45"/>
        <v>1070786.7235033107</v>
      </c>
      <c r="AJ40" s="63">
        <f t="shared" ca="1" si="26"/>
        <v>97.012373516458823</v>
      </c>
      <c r="AK40" s="63">
        <f ca="1">SUM($AJ$15:AJ40)</f>
        <v>1254.7559372456626</v>
      </c>
      <c r="AM40" s="52">
        <f ca="1">EXP(-AVERAGE(AC$15:AC40)*Z40)</f>
        <v>0.89955714723640567</v>
      </c>
      <c r="AO40" s="52">
        <f t="shared" ca="1" si="27"/>
        <v>26</v>
      </c>
      <c r="AP40" s="71">
        <f t="shared" ca="1" si="28"/>
        <v>45952</v>
      </c>
      <c r="AQ40" s="71">
        <f t="shared" ca="1" si="5"/>
        <v>45983</v>
      </c>
      <c r="AR40" s="72">
        <f t="shared" ca="1" si="6"/>
        <v>31</v>
      </c>
      <c r="AS40" s="73">
        <f ca="1">SUM(AR$15:AR40)/360</f>
        <v>2.2000000000000002</v>
      </c>
      <c r="AT40" s="74">
        <f t="shared" si="7"/>
        <v>25000000</v>
      </c>
      <c r="AU40" s="59">
        <f t="shared" si="29"/>
        <v>0.04</v>
      </c>
      <c r="AV40" s="57">
        <f>Volatilities_Resets!$E29*0.01</f>
        <v>3.8540899999999996E-2</v>
      </c>
      <c r="AW40" s="61">
        <f>IF(AU40=AX$11,Volatilities_Resets!$AA29,IF(AU40&gt;=AW$11,IF(AU40&lt;AX$11,(((Volatilities_Resets!$AA29-Volatilities_Resets!$Y29)/50)*((Calculator!AU40-Calculator!AW$11)*10000)+Volatilities_Resets!$Y29)),IF(AU40&gt;=AW$10,IF(AU40&lt;AX$10,(((Volatilities_Resets!$Y29-Volatilities_Resets!$W29)/50)*((Calculator!AU40-Calculator!AW$10)*10000)+Volatilities_Resets!$W29)),IF(AU40&gt;=AW$9,IF(AU40&lt;AX$9,(((Volatilities_Resets!$W29-Volatilities_Resets!$U29)/50)*((Calculator!AU40-Calculator!AW$9)*10000)+Volatilities_Resets!$U29)),IF(AU40&gt;=AW$8,IF(AU40&lt;AX$8,(((Volatilities_Resets!$U29-Volatilities_Resets!$S29)/50)*((Calculator!AU40-Calculator!AW$8)*10000)+Volatilities_Resets!$S29)),IF(AU40&gt;=AW$7,IF(AU40&lt;AX$7,(((Volatilities_Resets!$S29-Volatilities_Resets!$Q29)/50)*((Calculator!AU40-Calculator!AW$7)*10000)+Volatilities_Resets!$Q29)),IF(AU40&gt;=AW$6,IF(AU40&lt;AX$6,(((Volatilities_Resets!$Q29-Volatilities_Resets!$O29)/50)*((Calculator!AU40-Calculator!AW$6)*10000)+Volatilities_Resets!$O29)),IF(AU40&gt;=AW$5,IF(AU40&lt;AX$5,(((Volatilities_Resets!$O29-Volatilities_Resets!$M29)/50)*((Calculator!AU40-Calculator!AW$5)*10000)+Volatilities_Resets!$M29)),IF(AU40&gt;=AW$4,IF(AU40&lt;AX$4,(((Volatilities_Resets!$M29-Volatilities_Resets!$K29)/50)*((Calculator!AU40-Calculator!AW$4)*10000)+Volatilities_Resets!$K29)),IF(AU40&gt;=AW$3,IF(AU40&lt;AX$3,(((Volatilities_Resets!$K29-Volatilities_Resets!$I29)/50)*((Calculator!AU40-Calculator!AW$3)*10000)+Volatilities_Resets!$I29)),IF(AU40&gt;=AW$2,IF(AU40&lt;AX$2,(((Volatilities_Resets!$I29-Volatilities_Resets!$G29)/50)*((Calculator!AU40-Calculator!AW$2)*10000)+Volatilities_Resets!$G29)),"Well, something broke...")))))))))))/10000</f>
        <v>1.5259999999999999E-2</v>
      </c>
      <c r="AX40" s="63">
        <f t="shared" ca="1" si="30"/>
        <v>16110.054326312111</v>
      </c>
      <c r="AY40" s="63">
        <f t="shared" ca="1" si="31"/>
        <v>6.4897634879070411E-4</v>
      </c>
      <c r="AZ40" s="63">
        <f t="shared" ca="1" si="46"/>
        <v>619196.67732896144</v>
      </c>
      <c r="BC40" s="63">
        <f t="shared" ca="1" si="8"/>
        <v>102.86831195077201</v>
      </c>
      <c r="BD40" s="63">
        <f ca="1">SUM($BC$15:BC40)</f>
        <v>1535.6788840465649</v>
      </c>
      <c r="BF40" s="52">
        <f ca="1">EXP(-AVERAGE(AV$15:AV40)*AS40)</f>
        <v>0.89955714723640567</v>
      </c>
      <c r="BH40" s="52">
        <f t="shared" ca="1" si="32"/>
        <v>26</v>
      </c>
      <c r="BI40" s="71">
        <f t="shared" ca="1" si="33"/>
        <v>45952</v>
      </c>
      <c r="BJ40" s="71">
        <f t="shared" ca="1" si="9"/>
        <v>45983</v>
      </c>
      <c r="BK40" s="72">
        <f t="shared" ca="1" si="10"/>
        <v>31</v>
      </c>
      <c r="BL40" s="73">
        <f ca="1">SUM(BK$15:BK40)/360</f>
        <v>2.2000000000000002</v>
      </c>
      <c r="BM40" s="74">
        <f t="shared" si="11"/>
        <v>25000000</v>
      </c>
      <c r="BN40" s="59">
        <f t="shared" si="34"/>
        <v>0.05</v>
      </c>
      <c r="BO40" s="57">
        <f>Volatilities_Resets!$E29*0.01</f>
        <v>3.8540899999999996E-2</v>
      </c>
      <c r="BP40" s="61">
        <f>IF(BN40=BQ$11,Volatilities_Resets!$AA29,IF(BN40&gt;=BP$11,IF(BN40&lt;BQ$11,(((Volatilities_Resets!$AA29-Volatilities_Resets!$Y29)/50)*((Calculator!BN40-Calculator!BP$11)*10000)+Volatilities_Resets!$Y29)),IF(BN40&gt;=BP$10,IF(BN40&lt;BQ$10,(((Volatilities_Resets!$Y29-Volatilities_Resets!$W29)/50)*((Calculator!BN40-Calculator!BP$10)*10000)+Volatilities_Resets!$W29)),IF(BN40&gt;=BP$9,IF(BN40&lt;BQ$9,(((Volatilities_Resets!$W29-Volatilities_Resets!$U29)/50)*((Calculator!BN40-Calculator!BP$9)*10000)+Volatilities_Resets!$U29)),IF(BN40&gt;=BP$8,IF(BN40&lt;BQ$8,(((Volatilities_Resets!$U29-Volatilities_Resets!$S29)/50)*((Calculator!BN40-Calculator!BP$8)*10000)+Volatilities_Resets!$S29)),IF(BN40&gt;=BP$7,IF(BN40&lt;BQ$7,(((Volatilities_Resets!$S29-Volatilities_Resets!$Q29)/50)*((Calculator!BN40-Calculator!BP$7)*10000)+Volatilities_Resets!$Q29)),IF(BN40&gt;=BP$6,IF(BN40&lt;BQ$6,(((Volatilities_Resets!$Q29-Volatilities_Resets!$O29)/50)*((Calculator!BN40-Calculator!BP$6)*10000)+Volatilities_Resets!$O29)),IF(BN40&gt;=BP$5,IF(BN40&lt;BQ$5,(((Volatilities_Resets!$O29-Volatilities_Resets!$M29)/50)*((Calculator!BN40-Calculator!BP$5)*10000)+Volatilities_Resets!$M29)),IF(BN40&gt;=BP$4,IF(BN40&lt;BQ$4,(((Volatilities_Resets!$M29-Volatilities_Resets!$K29)/50)*((Calculator!BN40-Calculator!BP$4)*10000)+Volatilities_Resets!$K29)),IF(BN40&gt;=BP$3,IF(BN40&lt;BQ$3,(((Volatilities_Resets!$K29-Volatilities_Resets!$I29)/50)*((Calculator!BN40-Calculator!BP$3)*10000)+Volatilities_Resets!$I29)),IF(BN40&gt;=BP$2,IF(BN40&lt;BQ$2,(((Volatilities_Resets!$I29-Volatilities_Resets!$G29)/50)*((Calculator!BN40-Calculator!BP$2)*10000)+Volatilities_Resets!$G29)),"Well, something broke...")))))))))))/10000</f>
        <v>1.4703000000000001E-2</v>
      </c>
      <c r="BQ40" s="63">
        <f t="shared" ca="1" si="35"/>
        <v>8026.5601526814962</v>
      </c>
      <c r="BR40" s="63">
        <f t="shared" ca="1" si="36"/>
        <v>3.2505872448010468E-4</v>
      </c>
      <c r="BS40" s="63">
        <f t="shared" ca="1" si="47"/>
        <v>242472.21944416061</v>
      </c>
      <c r="BV40" s="63">
        <f t="shared" ca="1" si="37"/>
        <v>89.872918873118294</v>
      </c>
      <c r="BW40" s="63">
        <f ca="1">SUM($BV$15:BV40)</f>
        <v>1763.5850997061323</v>
      </c>
      <c r="BY40" s="52">
        <f ca="1">EXP(-AVERAGE(BO$15:BO40)*BL40)</f>
        <v>0.89955714723640567</v>
      </c>
      <c r="CA40" s="52">
        <f t="shared" ca="1" si="38"/>
        <v>26</v>
      </c>
      <c r="CB40" s="71">
        <f t="shared" ca="1" si="39"/>
        <v>45952</v>
      </c>
      <c r="CC40" s="71">
        <f t="shared" ca="1" si="12"/>
        <v>45983</v>
      </c>
      <c r="CD40" s="72">
        <f t="shared" ca="1" si="13"/>
        <v>31</v>
      </c>
      <c r="CE40" s="73">
        <f ca="1">SUM(CD$15:CD40)/360</f>
        <v>2.2000000000000002</v>
      </c>
      <c r="CF40" s="74">
        <f t="shared" si="14"/>
        <v>25000000</v>
      </c>
      <c r="CG40" s="59">
        <f t="shared" si="40"/>
        <v>0.06</v>
      </c>
      <c r="CH40" s="57">
        <f>Volatilities_Resets!$E29*0.01</f>
        <v>3.8540899999999996E-2</v>
      </c>
      <c r="CI40" s="61">
        <f>IF(CG40=CJ$11,Volatilities_Resets!$AA29,IF(CG40&gt;=CI$11,IF(CG40&lt;CJ$11,(((Volatilities_Resets!$AA29-Volatilities_Resets!$Y29)/50)*((Calculator!CG40-Calculator!CI$11)*10000)+Volatilities_Resets!$Y29)),IF(CG40&gt;=CI$10,IF(CG40&lt;CJ$10,(((Volatilities_Resets!$Y29-Volatilities_Resets!$W29)/50)*((Calculator!CG40-Calculator!CI$10)*10000)+Volatilities_Resets!$W29)),IF(CG40&gt;=CI$9,IF(CG40&lt;CJ$9,(((Volatilities_Resets!$W29-Volatilities_Resets!$U29)/50)*((Calculator!CG40-Calculator!CI$9)*10000)+Volatilities_Resets!$U29)),IF(CG40&gt;=CI$8,IF(CG40&lt;CJ$8,(((Volatilities_Resets!$U29-Volatilities_Resets!$S29)/50)*((Calculator!CG40-Calculator!CI$8)*10000)+Volatilities_Resets!$S29)),IF(CG40&gt;=CI$7,IF(CG40&lt;CJ$7,(((Volatilities_Resets!$S29-Volatilities_Resets!$Q29)/50)*((Calculator!CG40-Calculator!CI$7)*10000)+Volatilities_Resets!$Q29)),IF(CG40&gt;=CI$6,IF(CG40&lt;CJ$6,(((Volatilities_Resets!$Q29-Volatilities_Resets!$O29)/50)*((Calculator!CG40-Calculator!CI$6)*10000)+Volatilities_Resets!$O29)),IF(CG40&gt;=CI$5,IF(CG40&lt;CJ$5,(((Volatilities_Resets!$O29-Volatilities_Resets!$M29)/50)*((Calculator!CG40-Calculator!CI$5)*10000)+Volatilities_Resets!$M29)),IF(CG40&gt;=CI$4,IF(CG40&lt;CJ$4,(((Volatilities_Resets!$M29-Volatilities_Resets!$K29)/50)*((Calculator!CG40-Calculator!CI$4)*10000)+Volatilities_Resets!$K29)),IF(CG40&gt;=CI$3,IF(CG40&lt;CJ$3,(((Volatilities_Resets!$K29-Volatilities_Resets!$I29)/50)*((Calculator!CG40-Calculator!CI$3)*10000)+Volatilities_Resets!$I29)),IF(CG40&gt;=CI$2,IF(CG40&lt;CJ$2,(((Volatilities_Resets!$I29-Volatilities_Resets!$G29)/50)*((Calculator!CG40-Calculator!CI$2)*10000)+Volatilities_Resets!$G29)),"Well, something broke...")))))))))))/10000</f>
        <v>1.5630000000000002E-2</v>
      </c>
      <c r="CJ40" s="63">
        <f t="shared" ca="1" si="41"/>
        <v>4300.8980369930532</v>
      </c>
      <c r="CK40" s="63">
        <f t="shared" ca="1" si="42"/>
        <v>1.7503052739674166E-4</v>
      </c>
      <c r="CL40" s="63">
        <f t="shared" ca="1" si="48"/>
        <v>54715.940365802715</v>
      </c>
      <c r="CO40" s="63">
        <f t="shared" ca="1" si="43"/>
        <v>67.345478895283634</v>
      </c>
      <c r="CP40" s="63">
        <f ca="1">SUM($CO$15:CO40)</f>
        <v>1153.4036161287024</v>
      </c>
      <c r="CR40" s="52">
        <f ca="1">EXP(-AVERAGE(CH$15:CH40)*CE40)</f>
        <v>0.89955714723640567</v>
      </c>
      <c r="CT40"/>
      <c r="CU40"/>
      <c r="CV40"/>
      <c r="CW40"/>
      <c r="CX40"/>
      <c r="CY40"/>
      <c r="CZ40"/>
      <c r="DA40"/>
      <c r="DB40"/>
      <c r="DC40"/>
      <c r="DD40"/>
      <c r="DE40"/>
      <c r="DF40"/>
      <c r="DG40"/>
      <c r="DH40"/>
      <c r="DI40"/>
      <c r="DJ40"/>
      <c r="DK40"/>
      <c r="DL40"/>
    </row>
    <row r="41" spans="2:116" ht="15.75" customHeight="1" x14ac:dyDescent="0.2">
      <c r="B41" s="52">
        <v>3</v>
      </c>
      <c r="C41" s="52">
        <f t="shared" ca="1" si="15"/>
        <v>27</v>
      </c>
      <c r="D41" s="71">
        <f t="shared" ca="1" si="16"/>
        <v>45983</v>
      </c>
      <c r="E41" s="71">
        <f t="shared" ca="1" si="0"/>
        <v>46013</v>
      </c>
      <c r="F41" s="72">
        <f t="shared" ca="1" si="1"/>
        <v>30</v>
      </c>
      <c r="G41" s="73">
        <f ca="1">SUM($F$15:F41)/360</f>
        <v>2.2833333333333332</v>
      </c>
      <c r="H41" s="74">
        <f t="shared" si="2"/>
        <v>25000000</v>
      </c>
      <c r="I41" s="59">
        <f>IF('Cap Pricer'!$E$22=DataValidation!$C$2,'Cap Pricer'!$E$23,IF('Cap Pricer'!$E$22=DataValidation!$C$3,VLOOKUP($B41,'Cap Pricer'!$C$25:$E$31,3),""))</f>
        <v>0.02</v>
      </c>
      <c r="J41" s="57">
        <f>Volatilities_Resets!$E30*0.01</f>
        <v>3.8538800000000005E-2</v>
      </c>
      <c r="K41" s="61">
        <f>IF(I41=L$11,Volatilities_Resets!$AA30,IF(I41&gt;=K$11,IF(I41&lt;L$11,(((Volatilities_Resets!$AA30-Volatilities_Resets!$Y30)/50)*((Calculator!I41-Calculator!K$11)*10000)+Volatilities_Resets!$Y30)),IF(I41&gt;=K$10,IF(I41&lt;L$10,(((Volatilities_Resets!$Y30-Volatilities_Resets!$W30)/50)*((Calculator!I41-Calculator!K$10)*10000)+Volatilities_Resets!$W30)),IF(I41&gt;=K$9,IF(I41&lt;L$9,(((Volatilities_Resets!$W30-Volatilities_Resets!$U30)/50)*((Calculator!I41-Calculator!K$9)*10000)+Volatilities_Resets!$U30)),IF(I41&gt;=K$8,IF(I41&lt;L$8,(((Volatilities_Resets!$U30-Volatilities_Resets!$S30)/50)*((Calculator!I41-Calculator!K$8)*10000)+Volatilities_Resets!$S30)),IF(I41&gt;=K$7,IF(I41&lt;L$7,(((Volatilities_Resets!$S30-Volatilities_Resets!$Q30)/50)*((Calculator!I41-Calculator!K$7)*10000)+Volatilities_Resets!$Q30)),IF(I41&gt;=K$6,IF(I41&lt;L$6,(((Volatilities_Resets!$Q30-Volatilities_Resets!$O30)/50)*((Calculator!I41-Calculator!K$6)*10000)+Volatilities_Resets!$O30)),IF(I41&gt;=K$5,IF(I41&lt;L$5,(((Volatilities_Resets!$O30-Volatilities_Resets!$M30)/50)*((Calculator!I41-Calculator!K$5)*10000)+Volatilities_Resets!$M30)),IF(I41&gt;=K$4,IF(I41&lt;L$4,(((Volatilities_Resets!$M30-Volatilities_Resets!$K30)/50)*((Calculator!I41-Calculator!K$4)*10000)+Volatilities_Resets!$K30)),IF(I41&gt;=K$3,IF(I41&lt;L$3,(((Volatilities_Resets!$K30-Volatilities_Resets!$I30)/50)*((Calculator!I41-Calculator!K$3)*10000)+Volatilities_Resets!$I30)),IF(I41&gt;=K$2,IF(I41&lt;L$2,(((Volatilities_Resets!$I30-Volatilities_Resets!$G30)/50)*((Calculator!I41-Calculator!K$2)*10000)+Volatilities_Resets!$G30)),"Well, something broke...")))))))))))/10000</f>
        <v>1.712E-2</v>
      </c>
      <c r="L41" s="47">
        <f t="shared" ca="1" si="17"/>
        <v>41344.682889829914</v>
      </c>
      <c r="M41" s="63">
        <f t="shared" ca="1" si="18"/>
        <v>1.6572769783551313E-3</v>
      </c>
      <c r="N41" s="63">
        <f t="shared" ca="1" si="44"/>
        <v>1587104.4273622478</v>
      </c>
      <c r="Q41" s="63">
        <f t="shared" ca="1" si="19"/>
        <v>78.228066267901752</v>
      </c>
      <c r="R41" s="63">
        <f ca="1">SUM($Q$15:Q41)</f>
        <v>1044.8558920927696</v>
      </c>
      <c r="T41" s="52">
        <f ca="1">EXP(-AVERAGE(J$15:J41)*G41)</f>
        <v>0.89668339440950706</v>
      </c>
      <c r="U41" s="57"/>
      <c r="V41" s="52">
        <f t="shared" ca="1" si="20"/>
        <v>27</v>
      </c>
      <c r="W41" s="71">
        <f t="shared" ca="1" si="21"/>
        <v>45983</v>
      </c>
      <c r="X41" s="71">
        <f t="shared" ca="1" si="3"/>
        <v>46013</v>
      </c>
      <c r="Y41" s="72">
        <f t="shared" ca="1" si="4"/>
        <v>30</v>
      </c>
      <c r="Z41" s="73">
        <f ca="1">SUM(Y$15:Y41)/360</f>
        <v>2.2833333333333332</v>
      </c>
      <c r="AA41" s="74">
        <f t="shared" si="22"/>
        <v>25000000</v>
      </c>
      <c r="AB41" s="59">
        <f t="shared" si="23"/>
        <v>0.03</v>
      </c>
      <c r="AC41" s="57">
        <f>Volatilities_Resets!$E30*0.01</f>
        <v>3.8538800000000005E-2</v>
      </c>
      <c r="AD41" s="61">
        <f>IF(AB41=AE$11,Volatilities_Resets!$AA30,IF(AB41&gt;=AD$11,IF(AB41&lt;AE$11,(((Volatilities_Resets!$AA30-Volatilities_Resets!$Y30)/50)*((Calculator!AB41-Calculator!AD$11)*10000)+Volatilities_Resets!$Y30)),IF(AB41&gt;=AD$10,IF(AB41&lt;AE$10,(((Volatilities_Resets!$Y30-Volatilities_Resets!$W30)/50)*((Calculator!AB41-Calculator!AD$10)*10000)+Volatilities_Resets!$W30)),IF(AB41&gt;=AD$9,IF(AB41&lt;AE$9,(((Volatilities_Resets!$W30-Volatilities_Resets!$U30)/50)*((Calculator!AB41-Calculator!AD$9)*10000)+Volatilities_Resets!$U30)),IF(AB41&gt;=AD$8,IF(AB41&lt;AE$8,(((Volatilities_Resets!$U30-Volatilities_Resets!$S30)/50)*((Calculator!AB41-Calculator!AD$8)*10000)+Volatilities_Resets!$S30)),IF(AB41&gt;=AD$7,IF(AB41&lt;AE$7,(((Volatilities_Resets!$S30-Volatilities_Resets!$Q30)/50)*((Calculator!AB41-Calculator!AD$7)*10000)+Volatilities_Resets!$Q30)),IF(AB41&gt;=AD$6,IF(AB41&lt;AE$6,(((Volatilities_Resets!$Q30-Volatilities_Resets!$O30)/50)*((Calculator!AB41-Calculator!AD$6)*10000)+Volatilities_Resets!$O30)),IF(AB41&gt;=AD$5,IF(AB41&lt;AE$5,(((Volatilities_Resets!$O30-Volatilities_Resets!$M30)/50)*((Calculator!AB41-Calculator!AD$5)*10000)+Volatilities_Resets!$M30)),IF(AB41&gt;=AD$4,IF(AB41&lt;AE$4,(((Volatilities_Resets!$M30-Volatilities_Resets!$K30)/50)*((Calculator!AB41-Calculator!AD$4)*10000)+Volatilities_Resets!$K30)),IF(AB41&gt;=AD$3,IF(AB41&lt;AE$3,(((Volatilities_Resets!$K30-Volatilities_Resets!$I30)/50)*((Calculator!AB41-Calculator!AD$3)*10000)+Volatilities_Resets!$I30)),IF(AB41&gt;=AD$2,IF(AB41&lt;AE$2,(((Volatilities_Resets!$I30-Volatilities_Resets!$G30)/50)*((Calculator!AB41-Calculator!AD$2)*10000)+Volatilities_Resets!$G30)),"Well, something broke...")))))))))))/10000</f>
        <v>1.6480000000000002E-2</v>
      </c>
      <c r="AE41" s="63">
        <f t="shared" ca="1" si="24"/>
        <v>27614.869648000054</v>
      </c>
      <c r="AF41" s="63">
        <f t="shared" ca="1" si="25"/>
        <v>1.1088436790635903E-3</v>
      </c>
      <c r="AG41" s="63">
        <f t="shared" ca="1" si="45"/>
        <v>1098401.5931513107</v>
      </c>
      <c r="AJ41" s="63">
        <f t="shared" ca="1" si="26"/>
        <v>95.247798161895332</v>
      </c>
      <c r="AK41" s="63">
        <f ca="1">SUM($AJ$15:AJ41)</f>
        <v>1350.003735407558</v>
      </c>
      <c r="AM41" s="52">
        <f ca="1">EXP(-AVERAGE(AC$15:AC41)*Z41)</f>
        <v>0.89668339440950706</v>
      </c>
      <c r="AO41" s="52">
        <f t="shared" ca="1" si="27"/>
        <v>27</v>
      </c>
      <c r="AP41" s="71">
        <f t="shared" ca="1" si="28"/>
        <v>45983</v>
      </c>
      <c r="AQ41" s="71">
        <f t="shared" ca="1" si="5"/>
        <v>46013</v>
      </c>
      <c r="AR41" s="72">
        <f t="shared" ca="1" si="6"/>
        <v>30</v>
      </c>
      <c r="AS41" s="73">
        <f ca="1">SUM(AR$15:AR41)/360</f>
        <v>2.2833333333333332</v>
      </c>
      <c r="AT41" s="74">
        <f t="shared" si="7"/>
        <v>25000000</v>
      </c>
      <c r="AU41" s="59">
        <f t="shared" si="29"/>
        <v>0.04</v>
      </c>
      <c r="AV41" s="57">
        <f>Volatilities_Resets!$E30*0.01</f>
        <v>3.8538800000000005E-2</v>
      </c>
      <c r="AW41" s="61">
        <f>IF(AU41=AX$11,Volatilities_Resets!$AA30,IF(AU41&gt;=AW$11,IF(AU41&lt;AX$11,(((Volatilities_Resets!$AA30-Volatilities_Resets!$Y30)/50)*((Calculator!AU41-Calculator!AW$11)*10000)+Volatilities_Resets!$Y30)),IF(AU41&gt;=AW$10,IF(AU41&lt;AX$10,(((Volatilities_Resets!$Y30-Volatilities_Resets!$W30)/50)*((Calculator!AU41-Calculator!AW$10)*10000)+Volatilities_Resets!$W30)),IF(AU41&gt;=AW$9,IF(AU41&lt;AX$9,(((Volatilities_Resets!$W30-Volatilities_Resets!$U30)/50)*((Calculator!AU41-Calculator!AW$9)*10000)+Volatilities_Resets!$U30)),IF(AU41&gt;=AW$8,IF(AU41&lt;AX$8,(((Volatilities_Resets!$U30-Volatilities_Resets!$S30)/50)*((Calculator!AU41-Calculator!AW$8)*10000)+Volatilities_Resets!$S30)),IF(AU41&gt;=AW$7,IF(AU41&lt;AX$7,(((Volatilities_Resets!$S30-Volatilities_Resets!$Q30)/50)*((Calculator!AU41-Calculator!AW$7)*10000)+Volatilities_Resets!$Q30)),IF(AU41&gt;=AW$6,IF(AU41&lt;AX$6,(((Volatilities_Resets!$Q30-Volatilities_Resets!$O30)/50)*((Calculator!AU41-Calculator!AW$6)*10000)+Volatilities_Resets!$O30)),IF(AU41&gt;=AW$5,IF(AU41&lt;AX$5,(((Volatilities_Resets!$O30-Volatilities_Resets!$M30)/50)*((Calculator!AU41-Calculator!AW$5)*10000)+Volatilities_Resets!$M30)),IF(AU41&gt;=AW$4,IF(AU41&lt;AX$4,(((Volatilities_Resets!$M30-Volatilities_Resets!$K30)/50)*((Calculator!AU41-Calculator!AW$4)*10000)+Volatilities_Resets!$K30)),IF(AU41&gt;=AW$3,IF(AU41&lt;AX$3,(((Volatilities_Resets!$K30-Volatilities_Resets!$I30)/50)*((Calculator!AU41-Calculator!AW$3)*10000)+Volatilities_Resets!$I30)),IF(AU41&gt;=AW$2,IF(AU41&lt;AX$2,(((Volatilities_Resets!$I30-Volatilities_Resets!$G30)/50)*((Calculator!AU41-Calculator!AW$2)*10000)+Volatilities_Resets!$G30)),"Well, something broke...")))))))))))/10000</f>
        <v>1.5259999999999999E-2</v>
      </c>
      <c r="AX41" s="63">
        <f t="shared" ca="1" si="30"/>
        <v>15854.570181180239</v>
      </c>
      <c r="AY41" s="63">
        <f t="shared" ca="1" si="31"/>
        <v>6.3867839339930386E-4</v>
      </c>
      <c r="AZ41" s="63">
        <f t="shared" ca="1" si="46"/>
        <v>635051.24751014169</v>
      </c>
      <c r="BC41" s="63">
        <f t="shared" ca="1" si="8"/>
        <v>100.77793626800698</v>
      </c>
      <c r="BD41" s="63">
        <f ca="1">SUM($BC$15:BC41)</f>
        <v>1636.4568203145718</v>
      </c>
      <c r="BF41" s="52">
        <f ca="1">EXP(-AVERAGE(AV$15:AV41)*AS41)</f>
        <v>0.89668339440950706</v>
      </c>
      <c r="BH41" s="52">
        <f t="shared" ca="1" si="32"/>
        <v>27</v>
      </c>
      <c r="BI41" s="71">
        <f t="shared" ca="1" si="33"/>
        <v>45983</v>
      </c>
      <c r="BJ41" s="71">
        <f t="shared" ca="1" si="9"/>
        <v>46013</v>
      </c>
      <c r="BK41" s="72">
        <f t="shared" ca="1" si="10"/>
        <v>30</v>
      </c>
      <c r="BL41" s="73">
        <f ca="1">SUM(BK$15:BK41)/360</f>
        <v>2.2833333333333332</v>
      </c>
      <c r="BM41" s="74">
        <f t="shared" si="11"/>
        <v>25000000</v>
      </c>
      <c r="BN41" s="59">
        <f t="shared" si="34"/>
        <v>0.05</v>
      </c>
      <c r="BO41" s="57">
        <f>Volatilities_Resets!$E30*0.01</f>
        <v>3.8538800000000005E-2</v>
      </c>
      <c r="BP41" s="61">
        <f>IF(BN41=BQ$11,Volatilities_Resets!$AA30,IF(BN41&gt;=BP$11,IF(BN41&lt;BQ$11,(((Volatilities_Resets!$AA30-Volatilities_Resets!$Y30)/50)*((Calculator!BN41-Calculator!BP$11)*10000)+Volatilities_Resets!$Y30)),IF(BN41&gt;=BP$10,IF(BN41&lt;BQ$10,(((Volatilities_Resets!$Y30-Volatilities_Resets!$W30)/50)*((Calculator!BN41-Calculator!BP$10)*10000)+Volatilities_Resets!$W30)),IF(BN41&gt;=BP$9,IF(BN41&lt;BQ$9,(((Volatilities_Resets!$W30-Volatilities_Resets!$U30)/50)*((Calculator!BN41-Calculator!BP$9)*10000)+Volatilities_Resets!$U30)),IF(BN41&gt;=BP$8,IF(BN41&lt;BQ$8,(((Volatilities_Resets!$U30-Volatilities_Resets!$S30)/50)*((Calculator!BN41-Calculator!BP$8)*10000)+Volatilities_Resets!$S30)),IF(BN41&gt;=BP$7,IF(BN41&lt;BQ$7,(((Volatilities_Resets!$S30-Volatilities_Resets!$Q30)/50)*((Calculator!BN41-Calculator!BP$7)*10000)+Volatilities_Resets!$Q30)),IF(BN41&gt;=BP$6,IF(BN41&lt;BQ$6,(((Volatilities_Resets!$Q30-Volatilities_Resets!$O30)/50)*((Calculator!BN41-Calculator!BP$6)*10000)+Volatilities_Resets!$O30)),IF(BN41&gt;=BP$5,IF(BN41&lt;BQ$5,(((Volatilities_Resets!$O30-Volatilities_Resets!$M30)/50)*((Calculator!BN41-Calculator!BP$5)*10000)+Volatilities_Resets!$M30)),IF(BN41&gt;=BP$4,IF(BN41&lt;BQ$4,(((Volatilities_Resets!$M30-Volatilities_Resets!$K30)/50)*((Calculator!BN41-Calculator!BP$4)*10000)+Volatilities_Resets!$K30)),IF(BN41&gt;=BP$3,IF(BN41&lt;BQ$3,(((Volatilities_Resets!$K30-Volatilities_Resets!$I30)/50)*((Calculator!BN41-Calculator!BP$3)*10000)+Volatilities_Resets!$I30)),IF(BN41&gt;=BP$2,IF(BN41&lt;BQ$2,(((Volatilities_Resets!$I30-Volatilities_Resets!$G30)/50)*((Calculator!BN41-Calculator!BP$2)*10000)+Volatilities_Resets!$G30)),"Well, something broke...")))))))))))/10000</f>
        <v>1.4702000000000002E-2</v>
      </c>
      <c r="BQ41" s="63">
        <f t="shared" ca="1" si="35"/>
        <v>8006.958911831839</v>
      </c>
      <c r="BR41" s="63">
        <f t="shared" ca="1" si="36"/>
        <v>3.2422518122392327E-4</v>
      </c>
      <c r="BS41" s="63">
        <f t="shared" ca="1" si="47"/>
        <v>250479.17835599245</v>
      </c>
      <c r="BV41" s="63">
        <f t="shared" ca="1" si="37"/>
        <v>88.476305363801302</v>
      </c>
      <c r="BW41" s="63">
        <f ca="1">SUM($BV$15:BV41)</f>
        <v>1852.0614050699335</v>
      </c>
      <c r="BY41" s="52">
        <f ca="1">EXP(-AVERAGE(BO$15:BO41)*BL41)</f>
        <v>0.89668339440950706</v>
      </c>
      <c r="CA41" s="52">
        <f t="shared" ca="1" si="38"/>
        <v>27</v>
      </c>
      <c r="CB41" s="71">
        <f t="shared" ca="1" si="39"/>
        <v>45983</v>
      </c>
      <c r="CC41" s="71">
        <f t="shared" ca="1" si="12"/>
        <v>46013</v>
      </c>
      <c r="CD41" s="72">
        <f t="shared" ca="1" si="13"/>
        <v>30</v>
      </c>
      <c r="CE41" s="73">
        <f ca="1">SUM(CD$15:CD41)/360</f>
        <v>2.2833333333333332</v>
      </c>
      <c r="CF41" s="74">
        <f t="shared" si="14"/>
        <v>25000000</v>
      </c>
      <c r="CG41" s="59">
        <f t="shared" si="40"/>
        <v>0.06</v>
      </c>
      <c r="CH41" s="57">
        <f>Volatilities_Resets!$E30*0.01</f>
        <v>3.8538800000000005E-2</v>
      </c>
      <c r="CI41" s="61">
        <f>IF(CG41=CJ$11,Volatilities_Resets!$AA30,IF(CG41&gt;=CI$11,IF(CG41&lt;CJ$11,(((Volatilities_Resets!$AA30-Volatilities_Resets!$Y30)/50)*((Calculator!CG41-Calculator!CI$11)*10000)+Volatilities_Resets!$Y30)),IF(CG41&gt;=CI$10,IF(CG41&lt;CJ$10,(((Volatilities_Resets!$Y30-Volatilities_Resets!$W30)/50)*((Calculator!CG41-Calculator!CI$10)*10000)+Volatilities_Resets!$W30)),IF(CG41&gt;=CI$9,IF(CG41&lt;CJ$9,(((Volatilities_Resets!$W30-Volatilities_Resets!$U30)/50)*((Calculator!CG41-Calculator!CI$9)*10000)+Volatilities_Resets!$U30)),IF(CG41&gt;=CI$8,IF(CG41&lt;CJ$8,(((Volatilities_Resets!$U30-Volatilities_Resets!$S30)/50)*((Calculator!CG41-Calculator!CI$8)*10000)+Volatilities_Resets!$S30)),IF(CG41&gt;=CI$7,IF(CG41&lt;CJ$7,(((Volatilities_Resets!$S30-Volatilities_Resets!$Q30)/50)*((Calculator!CG41-Calculator!CI$7)*10000)+Volatilities_Resets!$Q30)),IF(CG41&gt;=CI$6,IF(CG41&lt;CJ$6,(((Volatilities_Resets!$Q30-Volatilities_Resets!$O30)/50)*((Calculator!CG41-Calculator!CI$6)*10000)+Volatilities_Resets!$O30)),IF(CG41&gt;=CI$5,IF(CG41&lt;CJ$5,(((Volatilities_Resets!$O30-Volatilities_Resets!$M30)/50)*((Calculator!CG41-Calculator!CI$5)*10000)+Volatilities_Resets!$M30)),IF(CG41&gt;=CI$4,IF(CG41&lt;CJ$4,(((Volatilities_Resets!$M30-Volatilities_Resets!$K30)/50)*((Calculator!CG41-Calculator!CI$4)*10000)+Volatilities_Resets!$K30)),IF(CG41&gt;=CI$3,IF(CG41&lt;CJ$3,(((Volatilities_Resets!$K30-Volatilities_Resets!$I30)/50)*((Calculator!CG41-Calculator!CI$3)*10000)+Volatilities_Resets!$I30)),IF(CG41&gt;=CI$2,IF(CG41&lt;CJ$2,(((Volatilities_Resets!$I30-Volatilities_Resets!$G30)/50)*((Calculator!CG41-Calculator!CI$2)*10000)+Volatilities_Resets!$G30)),"Well, something broke...")))))))))))/10000</f>
        <v>1.5628E-2</v>
      </c>
      <c r="CJ41" s="63">
        <f t="shared" ca="1" si="41"/>
        <v>4359.555115719525</v>
      </c>
      <c r="CK41" s="63">
        <f t="shared" ca="1" si="42"/>
        <v>1.773706798173973E-4</v>
      </c>
      <c r="CL41" s="63">
        <f t="shared" ca="1" si="48"/>
        <v>59075.495481522237</v>
      </c>
      <c r="CO41" s="63">
        <f t="shared" ca="1" si="43"/>
        <v>66.992901905926061</v>
      </c>
      <c r="CP41" s="63">
        <f ca="1">SUM($CO$15:CO41)</f>
        <v>1220.3965180346286</v>
      </c>
      <c r="CR41" s="52">
        <f ca="1">EXP(-AVERAGE(CH$15:CH41)*CE41)</f>
        <v>0.89668339440950706</v>
      </c>
      <c r="CT41"/>
      <c r="CU41"/>
      <c r="CV41"/>
      <c r="CW41"/>
      <c r="CX41"/>
      <c r="CY41"/>
      <c r="CZ41"/>
      <c r="DA41"/>
      <c r="DB41"/>
      <c r="DC41"/>
      <c r="DD41"/>
      <c r="DE41"/>
      <c r="DF41"/>
      <c r="DG41"/>
      <c r="DH41"/>
      <c r="DI41"/>
      <c r="DJ41"/>
      <c r="DK41"/>
      <c r="DL41"/>
    </row>
    <row r="42" spans="2:116" ht="15.75" customHeight="1" x14ac:dyDescent="0.2">
      <c r="B42" s="52">
        <v>3</v>
      </c>
      <c r="C42" s="52">
        <f t="shared" ca="1" si="15"/>
        <v>28</v>
      </c>
      <c r="D42" s="71">
        <f t="shared" ca="1" si="16"/>
        <v>46013</v>
      </c>
      <c r="E42" s="71">
        <f t="shared" ca="1" si="0"/>
        <v>46044</v>
      </c>
      <c r="F42" s="72">
        <f t="shared" ca="1" si="1"/>
        <v>31</v>
      </c>
      <c r="G42" s="73">
        <f ca="1">SUM($F$15:F42)/360</f>
        <v>2.3694444444444445</v>
      </c>
      <c r="H42" s="74">
        <f t="shared" si="2"/>
        <v>25000000</v>
      </c>
      <c r="I42" s="59">
        <f>IF('Cap Pricer'!$E$22=DataValidation!$C$2,'Cap Pricer'!$E$23,IF('Cap Pricer'!$E$22=DataValidation!$C$3,VLOOKUP($B42,'Cap Pricer'!$C$25:$E$31,3),""))</f>
        <v>0.02</v>
      </c>
      <c r="J42" s="57">
        <f>Volatilities_Resets!$E31*0.01</f>
        <v>3.8544999999999996E-2</v>
      </c>
      <c r="K42" s="61">
        <f>IF(I42=L$11,Volatilities_Resets!$AA31,IF(I42&gt;=K$11,IF(I42&lt;L$11,(((Volatilities_Resets!$AA31-Volatilities_Resets!$Y31)/50)*((Calculator!I42-Calculator!K$11)*10000)+Volatilities_Resets!$Y31)),IF(I42&gt;=K$10,IF(I42&lt;L$10,(((Volatilities_Resets!$Y31-Volatilities_Resets!$W31)/50)*((Calculator!I42-Calculator!K$10)*10000)+Volatilities_Resets!$W31)),IF(I42&gt;=K$9,IF(I42&lt;L$9,(((Volatilities_Resets!$W31-Volatilities_Resets!$U31)/50)*((Calculator!I42-Calculator!K$9)*10000)+Volatilities_Resets!$U31)),IF(I42&gt;=K$8,IF(I42&lt;L$8,(((Volatilities_Resets!$U31-Volatilities_Resets!$S31)/50)*((Calculator!I42-Calculator!K$8)*10000)+Volatilities_Resets!$S31)),IF(I42&gt;=K$7,IF(I42&lt;L$7,(((Volatilities_Resets!$S31-Volatilities_Resets!$Q31)/50)*((Calculator!I42-Calculator!K$7)*10000)+Volatilities_Resets!$Q31)),IF(I42&gt;=K$6,IF(I42&lt;L$6,(((Volatilities_Resets!$Q31-Volatilities_Resets!$O31)/50)*((Calculator!I42-Calculator!K$6)*10000)+Volatilities_Resets!$O31)),IF(I42&gt;=K$5,IF(I42&lt;L$5,(((Volatilities_Resets!$O31-Volatilities_Resets!$M31)/50)*((Calculator!I42-Calculator!K$5)*10000)+Volatilities_Resets!$M31)),IF(I42&gt;=K$4,IF(I42&lt;L$4,(((Volatilities_Resets!$M31-Volatilities_Resets!$K31)/50)*((Calculator!I42-Calculator!K$4)*10000)+Volatilities_Resets!$K31)),IF(I42&gt;=K$3,IF(I42&lt;L$3,(((Volatilities_Resets!$K31-Volatilities_Resets!$I31)/50)*((Calculator!I42-Calculator!K$3)*10000)+Volatilities_Resets!$I31)),IF(I42&gt;=K$2,IF(I42&lt;L$2,(((Volatilities_Resets!$I31-Volatilities_Resets!$G31)/50)*((Calculator!I42-Calculator!K$2)*10000)+Volatilities_Resets!$G31)),"Well, something broke...")))))))))))/10000</f>
        <v>1.7121000000000001E-2</v>
      </c>
      <c r="L42" s="47">
        <f t="shared" ca="1" si="17"/>
        <v>42878.962118298186</v>
      </c>
      <c r="M42" s="63">
        <f t="shared" ca="1" si="18"/>
        <v>1.718853236579712E-3</v>
      </c>
      <c r="N42" s="63">
        <f t="shared" ca="1" si="44"/>
        <v>1629983.3894805461</v>
      </c>
      <c r="Q42" s="63">
        <f t="shared" ca="1" si="19"/>
        <v>82.549978711205071</v>
      </c>
      <c r="R42" s="63">
        <f ca="1">SUM($Q$15:Q42)</f>
        <v>1127.4058708039747</v>
      </c>
      <c r="T42" s="52">
        <f ca="1">EXP(-AVERAGE(J$15:J42)*G42)</f>
        <v>0.8936998435843817</v>
      </c>
      <c r="U42" s="57"/>
      <c r="V42" s="52">
        <f t="shared" ca="1" si="20"/>
        <v>28</v>
      </c>
      <c r="W42" s="71">
        <f t="shared" ca="1" si="21"/>
        <v>46013</v>
      </c>
      <c r="X42" s="71">
        <f t="shared" ca="1" si="3"/>
        <v>46044</v>
      </c>
      <c r="Y42" s="72">
        <f t="shared" ca="1" si="4"/>
        <v>31</v>
      </c>
      <c r="Z42" s="73">
        <f ca="1">SUM(Y$15:Y42)/360</f>
        <v>2.3694444444444445</v>
      </c>
      <c r="AA42" s="74">
        <f t="shared" si="22"/>
        <v>25000000</v>
      </c>
      <c r="AB42" s="59">
        <f t="shared" si="23"/>
        <v>0.03</v>
      </c>
      <c r="AC42" s="57">
        <f>Volatilities_Resets!$E31*0.01</f>
        <v>3.8544999999999996E-2</v>
      </c>
      <c r="AD42" s="61">
        <f>IF(AB42=AE$11,Volatilities_Resets!$AA31,IF(AB42&gt;=AD$11,IF(AB42&lt;AE$11,(((Volatilities_Resets!$AA31-Volatilities_Resets!$Y31)/50)*((Calculator!AB42-Calculator!AD$11)*10000)+Volatilities_Resets!$Y31)),IF(AB42&gt;=AD$10,IF(AB42&lt;AE$10,(((Volatilities_Resets!$Y31-Volatilities_Resets!$W31)/50)*((Calculator!AB42-Calculator!AD$10)*10000)+Volatilities_Resets!$W31)),IF(AB42&gt;=AD$9,IF(AB42&lt;AE$9,(((Volatilities_Resets!$W31-Volatilities_Resets!$U31)/50)*((Calculator!AB42-Calculator!AD$9)*10000)+Volatilities_Resets!$U31)),IF(AB42&gt;=AD$8,IF(AB42&lt;AE$8,(((Volatilities_Resets!$U31-Volatilities_Resets!$S31)/50)*((Calculator!AB42-Calculator!AD$8)*10000)+Volatilities_Resets!$S31)),IF(AB42&gt;=AD$7,IF(AB42&lt;AE$7,(((Volatilities_Resets!$S31-Volatilities_Resets!$Q31)/50)*((Calculator!AB42-Calculator!AD$7)*10000)+Volatilities_Resets!$Q31)),IF(AB42&gt;=AD$6,IF(AB42&lt;AE$6,(((Volatilities_Resets!$Q31-Volatilities_Resets!$O31)/50)*((Calculator!AB42-Calculator!AD$6)*10000)+Volatilities_Resets!$O31)),IF(AB42&gt;=AD$5,IF(AB42&lt;AE$5,(((Volatilities_Resets!$O31-Volatilities_Resets!$M31)/50)*((Calculator!AB42-Calculator!AD$5)*10000)+Volatilities_Resets!$M31)),IF(AB42&gt;=AD$4,IF(AB42&lt;AE$4,(((Volatilities_Resets!$M31-Volatilities_Resets!$K31)/50)*((Calculator!AB42-Calculator!AD$4)*10000)+Volatilities_Resets!$K31)),IF(AB42&gt;=AD$3,IF(AB42&lt;AE$3,(((Volatilities_Resets!$K31-Volatilities_Resets!$I31)/50)*((Calculator!AB42-Calculator!AD$3)*10000)+Volatilities_Resets!$I31)),IF(AB42&gt;=AD$2,IF(AB42&lt;AE$2,(((Volatilities_Resets!$I31-Volatilities_Resets!$G31)/50)*((Calculator!AB42-Calculator!AD$2)*10000)+Volatilities_Resets!$G31)),"Well, something broke...")))))))))))/10000</f>
        <v>1.6480999999999999E-2</v>
      </c>
      <c r="AE42" s="63">
        <f t="shared" ca="1" si="24"/>
        <v>28786.12838686907</v>
      </c>
      <c r="AF42" s="63">
        <f t="shared" ca="1" si="25"/>
        <v>1.1559119415517594E-3</v>
      </c>
      <c r="AG42" s="63">
        <f t="shared" ca="1" si="45"/>
        <v>1127187.7215381798</v>
      </c>
      <c r="AJ42" s="63">
        <f t="shared" ca="1" si="26"/>
        <v>99.799597308342072</v>
      </c>
      <c r="AK42" s="63">
        <f ca="1">SUM($AJ$15:AJ42)</f>
        <v>1449.8033327159001</v>
      </c>
      <c r="AM42" s="52">
        <f ca="1">EXP(-AVERAGE(AC$15:AC42)*Z42)</f>
        <v>0.8936998435843817</v>
      </c>
      <c r="AO42" s="52">
        <f t="shared" ca="1" si="27"/>
        <v>28</v>
      </c>
      <c r="AP42" s="71">
        <f t="shared" ca="1" si="28"/>
        <v>46013</v>
      </c>
      <c r="AQ42" s="71">
        <f t="shared" ca="1" si="5"/>
        <v>46044</v>
      </c>
      <c r="AR42" s="72">
        <f t="shared" ca="1" si="6"/>
        <v>31</v>
      </c>
      <c r="AS42" s="73">
        <f ca="1">SUM(AR$15:AR42)/360</f>
        <v>2.3694444444444445</v>
      </c>
      <c r="AT42" s="74">
        <f t="shared" si="7"/>
        <v>25000000</v>
      </c>
      <c r="AU42" s="59">
        <f t="shared" si="29"/>
        <v>0.04</v>
      </c>
      <c r="AV42" s="57">
        <f>Volatilities_Resets!$E31*0.01</f>
        <v>3.8544999999999996E-2</v>
      </c>
      <c r="AW42" s="61">
        <f>IF(AU42=AX$11,Volatilities_Resets!$AA31,IF(AU42&gt;=AW$11,IF(AU42&lt;AX$11,(((Volatilities_Resets!$AA31-Volatilities_Resets!$Y31)/50)*((Calculator!AU42-Calculator!AW$11)*10000)+Volatilities_Resets!$Y31)),IF(AU42&gt;=AW$10,IF(AU42&lt;AX$10,(((Volatilities_Resets!$Y31-Volatilities_Resets!$W31)/50)*((Calculator!AU42-Calculator!AW$10)*10000)+Volatilities_Resets!$W31)),IF(AU42&gt;=AW$9,IF(AU42&lt;AX$9,(((Volatilities_Resets!$W31-Volatilities_Resets!$U31)/50)*((Calculator!AU42-Calculator!AW$9)*10000)+Volatilities_Resets!$U31)),IF(AU42&gt;=AW$8,IF(AU42&lt;AX$8,(((Volatilities_Resets!$U31-Volatilities_Resets!$S31)/50)*((Calculator!AU42-Calculator!AW$8)*10000)+Volatilities_Resets!$S31)),IF(AU42&gt;=AW$7,IF(AU42&lt;AX$7,(((Volatilities_Resets!$S31-Volatilities_Resets!$Q31)/50)*((Calculator!AU42-Calculator!AW$7)*10000)+Volatilities_Resets!$Q31)),IF(AU42&gt;=AW$6,IF(AU42&lt;AX$6,(((Volatilities_Resets!$Q31-Volatilities_Resets!$O31)/50)*((Calculator!AU42-Calculator!AW$6)*10000)+Volatilities_Resets!$O31)),IF(AU42&gt;=AW$5,IF(AU42&lt;AX$5,(((Volatilities_Resets!$O31-Volatilities_Resets!$M31)/50)*((Calculator!AU42-Calculator!AW$5)*10000)+Volatilities_Resets!$M31)),IF(AU42&gt;=AW$4,IF(AU42&lt;AX$4,(((Volatilities_Resets!$M31-Volatilities_Resets!$K31)/50)*((Calculator!AU42-Calculator!AW$4)*10000)+Volatilities_Resets!$K31)),IF(AU42&gt;=AW$3,IF(AU42&lt;AX$3,(((Volatilities_Resets!$K31-Volatilities_Resets!$I31)/50)*((Calculator!AU42-Calculator!AW$3)*10000)+Volatilities_Resets!$I31)),IF(AU42&gt;=AW$2,IF(AU42&lt;AX$2,(((Volatilities_Resets!$I31-Volatilities_Resets!$G31)/50)*((Calculator!AU42-Calculator!AW$2)*10000)+Volatilities_Resets!$G31)),"Well, something broke...")))))))))))/10000</f>
        <v>1.5259999999999999E-2</v>
      </c>
      <c r="AX42" s="63">
        <f t="shared" ca="1" si="30"/>
        <v>16664.207301090271</v>
      </c>
      <c r="AY42" s="63">
        <f t="shared" ca="1" si="31"/>
        <v>6.7128518996007998E-4</v>
      </c>
      <c r="AZ42" s="63">
        <f t="shared" ca="1" si="46"/>
        <v>651715.45481123193</v>
      </c>
      <c r="BC42" s="63">
        <f t="shared" ca="1" si="8"/>
        <v>105.38727325379911</v>
      </c>
      <c r="BD42" s="63">
        <f ca="1">SUM($BC$15:BC42)</f>
        <v>1741.8440935683709</v>
      </c>
      <c r="BF42" s="52">
        <f ca="1">EXP(-AVERAGE(AV$15:AV42)*AS42)</f>
        <v>0.8936998435843817</v>
      </c>
      <c r="BH42" s="52">
        <f t="shared" ca="1" si="32"/>
        <v>28</v>
      </c>
      <c r="BI42" s="71">
        <f t="shared" ca="1" si="33"/>
        <v>46013</v>
      </c>
      <c r="BJ42" s="71">
        <f t="shared" ca="1" si="9"/>
        <v>46044</v>
      </c>
      <c r="BK42" s="72">
        <f t="shared" ca="1" si="10"/>
        <v>31</v>
      </c>
      <c r="BL42" s="73">
        <f ca="1">SUM(BK$15:BK42)/360</f>
        <v>2.3694444444444445</v>
      </c>
      <c r="BM42" s="74">
        <f t="shared" si="11"/>
        <v>25000000</v>
      </c>
      <c r="BN42" s="59">
        <f t="shared" si="34"/>
        <v>0.05</v>
      </c>
      <c r="BO42" s="57">
        <f>Volatilities_Resets!$E31*0.01</f>
        <v>3.8544999999999996E-2</v>
      </c>
      <c r="BP42" s="61">
        <f>IF(BN42=BQ$11,Volatilities_Resets!$AA31,IF(BN42&gt;=BP$11,IF(BN42&lt;BQ$11,(((Volatilities_Resets!$AA31-Volatilities_Resets!$Y31)/50)*((Calculator!BN42-Calculator!BP$11)*10000)+Volatilities_Resets!$Y31)),IF(BN42&gt;=BP$10,IF(BN42&lt;BQ$10,(((Volatilities_Resets!$Y31-Volatilities_Resets!$W31)/50)*((Calculator!BN42-Calculator!BP$10)*10000)+Volatilities_Resets!$W31)),IF(BN42&gt;=BP$9,IF(BN42&lt;BQ$9,(((Volatilities_Resets!$W31-Volatilities_Resets!$U31)/50)*((Calculator!BN42-Calculator!BP$9)*10000)+Volatilities_Resets!$U31)),IF(BN42&gt;=BP$8,IF(BN42&lt;BQ$8,(((Volatilities_Resets!$U31-Volatilities_Resets!$S31)/50)*((Calculator!BN42-Calculator!BP$8)*10000)+Volatilities_Resets!$S31)),IF(BN42&gt;=BP$7,IF(BN42&lt;BQ$7,(((Volatilities_Resets!$S31-Volatilities_Resets!$Q31)/50)*((Calculator!BN42-Calculator!BP$7)*10000)+Volatilities_Resets!$Q31)),IF(BN42&gt;=BP$6,IF(BN42&lt;BQ$6,(((Volatilities_Resets!$Q31-Volatilities_Resets!$O31)/50)*((Calculator!BN42-Calculator!BP$6)*10000)+Volatilities_Resets!$O31)),IF(BN42&gt;=BP$5,IF(BN42&lt;BQ$5,(((Volatilities_Resets!$O31-Volatilities_Resets!$M31)/50)*((Calculator!BN42-Calculator!BP$5)*10000)+Volatilities_Resets!$M31)),IF(BN42&gt;=BP$4,IF(BN42&lt;BQ$4,(((Volatilities_Resets!$M31-Volatilities_Resets!$K31)/50)*((Calculator!BN42-Calculator!BP$4)*10000)+Volatilities_Resets!$K31)),IF(BN42&gt;=BP$3,IF(BN42&lt;BQ$3,(((Volatilities_Resets!$K31-Volatilities_Resets!$I31)/50)*((Calculator!BN42-Calculator!BP$3)*10000)+Volatilities_Resets!$I31)),IF(BN42&gt;=BP$2,IF(BN42&lt;BQ$2,(((Volatilities_Resets!$I31-Volatilities_Resets!$G31)/50)*((Calculator!BN42-Calculator!BP$2)*10000)+Volatilities_Resets!$G31)),"Well, something broke...")))))))))))/10000</f>
        <v>1.4702000000000002E-2</v>
      </c>
      <c r="BQ42" s="63">
        <f t="shared" ca="1" si="35"/>
        <v>8529.5250032087006</v>
      </c>
      <c r="BR42" s="63">
        <f t="shared" ca="1" si="36"/>
        <v>3.4534226631463235E-4</v>
      </c>
      <c r="BS42" s="63">
        <f t="shared" ca="1" si="47"/>
        <v>259008.70335920114</v>
      </c>
      <c r="BV42" s="63">
        <f t="shared" ca="1" si="37"/>
        <v>92.973073494881561</v>
      </c>
      <c r="BW42" s="63">
        <f ca="1">SUM($BV$15:BV42)</f>
        <v>1945.0344785648151</v>
      </c>
      <c r="BY42" s="52">
        <f ca="1">EXP(-AVERAGE(BO$15:BO42)*BL42)</f>
        <v>0.8936998435843817</v>
      </c>
      <c r="CA42" s="52">
        <f t="shared" ca="1" si="38"/>
        <v>28</v>
      </c>
      <c r="CB42" s="71">
        <f t="shared" ca="1" si="39"/>
        <v>46013</v>
      </c>
      <c r="CC42" s="71">
        <f t="shared" ca="1" si="12"/>
        <v>46044</v>
      </c>
      <c r="CD42" s="72">
        <f t="shared" ca="1" si="13"/>
        <v>31</v>
      </c>
      <c r="CE42" s="73">
        <f ca="1">SUM(CD$15:CD42)/360</f>
        <v>2.3694444444444445</v>
      </c>
      <c r="CF42" s="74">
        <f t="shared" si="14"/>
        <v>25000000</v>
      </c>
      <c r="CG42" s="59">
        <f t="shared" si="40"/>
        <v>0.06</v>
      </c>
      <c r="CH42" s="57">
        <f>Volatilities_Resets!$E31*0.01</f>
        <v>3.8544999999999996E-2</v>
      </c>
      <c r="CI42" s="61">
        <f>IF(CG42=CJ$11,Volatilities_Resets!$AA31,IF(CG42&gt;=CI$11,IF(CG42&lt;CJ$11,(((Volatilities_Resets!$AA31-Volatilities_Resets!$Y31)/50)*((Calculator!CG42-Calculator!CI$11)*10000)+Volatilities_Resets!$Y31)),IF(CG42&gt;=CI$10,IF(CG42&lt;CJ$10,(((Volatilities_Resets!$Y31-Volatilities_Resets!$W31)/50)*((Calculator!CG42-Calculator!CI$10)*10000)+Volatilities_Resets!$W31)),IF(CG42&gt;=CI$9,IF(CG42&lt;CJ$9,(((Volatilities_Resets!$W31-Volatilities_Resets!$U31)/50)*((Calculator!CG42-Calculator!CI$9)*10000)+Volatilities_Resets!$U31)),IF(CG42&gt;=CI$8,IF(CG42&lt;CJ$8,(((Volatilities_Resets!$U31-Volatilities_Resets!$S31)/50)*((Calculator!CG42-Calculator!CI$8)*10000)+Volatilities_Resets!$S31)),IF(CG42&gt;=CI$7,IF(CG42&lt;CJ$7,(((Volatilities_Resets!$S31-Volatilities_Resets!$Q31)/50)*((Calculator!CG42-Calculator!CI$7)*10000)+Volatilities_Resets!$Q31)),IF(CG42&gt;=CI$6,IF(CG42&lt;CJ$6,(((Volatilities_Resets!$Q31-Volatilities_Resets!$O31)/50)*((Calculator!CG42-Calculator!CI$6)*10000)+Volatilities_Resets!$O31)),IF(CG42&gt;=CI$5,IF(CG42&lt;CJ$5,(((Volatilities_Resets!$O31-Volatilities_Resets!$M31)/50)*((Calculator!CG42-Calculator!CI$5)*10000)+Volatilities_Resets!$M31)),IF(CG42&gt;=CI$4,IF(CG42&lt;CJ$4,(((Volatilities_Resets!$M31-Volatilities_Resets!$K31)/50)*((Calculator!CG42-Calculator!CI$4)*10000)+Volatilities_Resets!$K31)),IF(CG42&gt;=CI$3,IF(CG42&lt;CJ$3,(((Volatilities_Resets!$K31-Volatilities_Resets!$I31)/50)*((Calculator!CG42-Calculator!CI$3)*10000)+Volatilities_Resets!$I31)),IF(CG42&gt;=CI$2,IF(CG42&lt;CJ$2,(((Volatilities_Resets!$I31-Volatilities_Resets!$G31)/50)*((Calculator!CG42-Calculator!CI$2)*10000)+Volatilities_Resets!$G31)),"Well, something broke...")))))))))))/10000</f>
        <v>1.5629000000000001E-2</v>
      </c>
      <c r="CJ42" s="63">
        <f t="shared" ca="1" si="41"/>
        <v>4718.6662544456321</v>
      </c>
      <c r="CK42" s="63">
        <f t="shared" ca="1" si="42"/>
        <v>1.9192995806714057E-4</v>
      </c>
      <c r="CL42" s="63">
        <f t="shared" ca="1" si="48"/>
        <v>63794.161735967871</v>
      </c>
      <c r="CO42" s="63">
        <f t="shared" ca="1" si="43"/>
        <v>71.123044069049854</v>
      </c>
      <c r="CP42" s="63">
        <f ca="1">SUM($CO$15:CO42)</f>
        <v>1291.5195621036785</v>
      </c>
      <c r="CR42" s="52">
        <f ca="1">EXP(-AVERAGE(CH$15:CH42)*CE42)</f>
        <v>0.8936998435843817</v>
      </c>
      <c r="CT42"/>
      <c r="CU42"/>
      <c r="CV42"/>
      <c r="CW42"/>
      <c r="CX42"/>
      <c r="CY42"/>
      <c r="CZ42"/>
      <c r="DA42"/>
      <c r="DB42"/>
      <c r="DC42"/>
      <c r="DD42"/>
      <c r="DE42"/>
      <c r="DF42"/>
      <c r="DG42"/>
      <c r="DH42"/>
      <c r="DI42"/>
      <c r="DJ42"/>
      <c r="DK42"/>
      <c r="DL42"/>
    </row>
    <row r="43" spans="2:116" ht="15.75" customHeight="1" x14ac:dyDescent="0.2">
      <c r="B43" s="52">
        <v>3</v>
      </c>
      <c r="C43" s="52">
        <f t="shared" ca="1" si="15"/>
        <v>29</v>
      </c>
      <c r="D43" s="71">
        <f t="shared" ca="1" si="16"/>
        <v>46044</v>
      </c>
      <c r="E43" s="71">
        <f t="shared" ca="1" si="0"/>
        <v>46075</v>
      </c>
      <c r="F43" s="72">
        <f t="shared" ca="1" si="1"/>
        <v>31</v>
      </c>
      <c r="G43" s="73">
        <f ca="1">SUM($F$15:F43)/360</f>
        <v>2.4555555555555557</v>
      </c>
      <c r="H43" s="74">
        <f t="shared" si="2"/>
        <v>25000000</v>
      </c>
      <c r="I43" s="59">
        <f>IF('Cap Pricer'!$E$22=DataValidation!$C$2,'Cap Pricer'!$E$23,IF('Cap Pricer'!$E$22=DataValidation!$C$3,VLOOKUP($B43,'Cap Pricer'!$C$25:$E$31,3),""))</f>
        <v>0.02</v>
      </c>
      <c r="J43" s="57">
        <f>Volatilities_Resets!$E32*0.01</f>
        <v>3.8540899999999996E-2</v>
      </c>
      <c r="K43" s="61">
        <f>IF(I43=L$11,Volatilities_Resets!$AA32,IF(I43&gt;=K$11,IF(I43&lt;L$11,(((Volatilities_Resets!$AA32-Volatilities_Resets!$Y32)/50)*((Calculator!I43-Calculator!K$11)*10000)+Volatilities_Resets!$Y32)),IF(I43&gt;=K$10,IF(I43&lt;L$10,(((Volatilities_Resets!$Y32-Volatilities_Resets!$W32)/50)*((Calculator!I43-Calculator!K$10)*10000)+Volatilities_Resets!$W32)),IF(I43&gt;=K$9,IF(I43&lt;L$9,(((Volatilities_Resets!$W32-Volatilities_Resets!$U32)/50)*((Calculator!I43-Calculator!K$9)*10000)+Volatilities_Resets!$U32)),IF(I43&gt;=K$8,IF(I43&lt;L$8,(((Volatilities_Resets!$U32-Volatilities_Resets!$S32)/50)*((Calculator!I43-Calculator!K$8)*10000)+Volatilities_Resets!$S32)),IF(I43&gt;=K$7,IF(I43&lt;L$7,(((Volatilities_Resets!$S32-Volatilities_Resets!$Q32)/50)*((Calculator!I43-Calculator!K$7)*10000)+Volatilities_Resets!$Q32)),IF(I43&gt;=K$6,IF(I43&lt;L$6,(((Volatilities_Resets!$Q32-Volatilities_Resets!$O32)/50)*((Calculator!I43-Calculator!K$6)*10000)+Volatilities_Resets!$O32)),IF(I43&gt;=K$5,IF(I43&lt;L$5,(((Volatilities_Resets!$O32-Volatilities_Resets!$M32)/50)*((Calculator!I43-Calculator!K$5)*10000)+Volatilities_Resets!$M32)),IF(I43&gt;=K$4,IF(I43&lt;L$4,(((Volatilities_Resets!$M32-Volatilities_Resets!$K32)/50)*((Calculator!I43-Calculator!K$4)*10000)+Volatilities_Resets!$K32)),IF(I43&gt;=K$3,IF(I43&lt;L$3,(((Volatilities_Resets!$K32-Volatilities_Resets!$I32)/50)*((Calculator!I43-Calculator!K$3)*10000)+Volatilities_Resets!$I32)),IF(I43&gt;=K$2,IF(I43&lt;L$2,(((Volatilities_Resets!$I32-Volatilities_Resets!$G32)/50)*((Calculator!I43-Calculator!K$2)*10000)+Volatilities_Resets!$G32)),"Well, something broke...")))))))))))/10000</f>
        <v>1.7121000000000001E-2</v>
      </c>
      <c r="L43" s="47">
        <f t="shared" ca="1" si="17"/>
        <v>43015.100127310252</v>
      </c>
      <c r="M43" s="63">
        <f t="shared" ca="1" si="18"/>
        <v>1.724385681166751E-3</v>
      </c>
      <c r="N43" s="63">
        <f t="shared" ca="1" si="44"/>
        <v>1672998.4896078564</v>
      </c>
      <c r="Q43" s="63">
        <f t="shared" ca="1" si="19"/>
        <v>84.2110597482842</v>
      </c>
      <c r="R43" s="63">
        <f ca="1">SUM($Q$15:Q43)</f>
        <v>1211.616930552259</v>
      </c>
      <c r="T43" s="52">
        <f ca="1">EXP(-AVERAGE(J$15:J43)*G43)</f>
        <v>0.8907273715976598</v>
      </c>
      <c r="U43" s="57"/>
      <c r="V43" s="52">
        <f t="shared" ca="1" si="20"/>
        <v>29</v>
      </c>
      <c r="W43" s="71">
        <f t="shared" ca="1" si="21"/>
        <v>46044</v>
      </c>
      <c r="X43" s="71">
        <f t="shared" ca="1" si="3"/>
        <v>46075</v>
      </c>
      <c r="Y43" s="72">
        <f t="shared" ca="1" si="4"/>
        <v>31</v>
      </c>
      <c r="Z43" s="73">
        <f ca="1">SUM(Y$15:Y43)/360</f>
        <v>2.4555555555555557</v>
      </c>
      <c r="AA43" s="74">
        <f t="shared" si="22"/>
        <v>25000000</v>
      </c>
      <c r="AB43" s="59">
        <f t="shared" si="23"/>
        <v>0.03</v>
      </c>
      <c r="AC43" s="57">
        <f>Volatilities_Resets!$E32*0.01</f>
        <v>3.8540899999999996E-2</v>
      </c>
      <c r="AD43" s="61">
        <f>IF(AB43=AE$11,Volatilities_Resets!$AA32,IF(AB43&gt;=AD$11,IF(AB43&lt;AE$11,(((Volatilities_Resets!$AA32-Volatilities_Resets!$Y32)/50)*((Calculator!AB43-Calculator!AD$11)*10000)+Volatilities_Resets!$Y32)),IF(AB43&gt;=AD$10,IF(AB43&lt;AE$10,(((Volatilities_Resets!$Y32-Volatilities_Resets!$W32)/50)*((Calculator!AB43-Calculator!AD$10)*10000)+Volatilities_Resets!$W32)),IF(AB43&gt;=AD$9,IF(AB43&lt;AE$9,(((Volatilities_Resets!$W32-Volatilities_Resets!$U32)/50)*((Calculator!AB43-Calculator!AD$9)*10000)+Volatilities_Resets!$U32)),IF(AB43&gt;=AD$8,IF(AB43&lt;AE$8,(((Volatilities_Resets!$U32-Volatilities_Resets!$S32)/50)*((Calculator!AB43-Calculator!AD$8)*10000)+Volatilities_Resets!$S32)),IF(AB43&gt;=AD$7,IF(AB43&lt;AE$7,(((Volatilities_Resets!$S32-Volatilities_Resets!$Q32)/50)*((Calculator!AB43-Calculator!AD$7)*10000)+Volatilities_Resets!$Q32)),IF(AB43&gt;=AD$6,IF(AB43&lt;AE$6,(((Volatilities_Resets!$Q32-Volatilities_Resets!$O32)/50)*((Calculator!AB43-Calculator!AD$6)*10000)+Volatilities_Resets!$O32)),IF(AB43&gt;=AD$5,IF(AB43&lt;AE$5,(((Volatilities_Resets!$O32-Volatilities_Resets!$M32)/50)*((Calculator!AB43-Calculator!AD$5)*10000)+Volatilities_Resets!$M32)),IF(AB43&gt;=AD$4,IF(AB43&lt;AE$4,(((Volatilities_Resets!$M32-Volatilities_Resets!$K32)/50)*((Calculator!AB43-Calculator!AD$4)*10000)+Volatilities_Resets!$K32)),IF(AB43&gt;=AD$3,IF(AB43&lt;AE$3,(((Volatilities_Resets!$K32-Volatilities_Resets!$I32)/50)*((Calculator!AB43-Calculator!AD$3)*10000)+Volatilities_Resets!$I32)),IF(AB43&gt;=AD$2,IF(AB43&lt;AE$2,(((Volatilities_Resets!$I32-Volatilities_Resets!$G32)/50)*((Calculator!AB43-Calculator!AD$2)*10000)+Volatilities_Resets!$G32)),"Well, something broke...")))))))))))/10000</f>
        <v>1.6480999999999999E-2</v>
      </c>
      <c r="AE43" s="63">
        <f t="shared" ca="1" si="24"/>
        <v>29015.995304060514</v>
      </c>
      <c r="AF43" s="63">
        <f t="shared" ca="1" si="25"/>
        <v>1.1651811437256056E-3</v>
      </c>
      <c r="AG43" s="63">
        <f t="shared" ca="1" si="45"/>
        <v>1156203.7168422402</v>
      </c>
      <c r="AJ43" s="63">
        <f t="shared" ca="1" si="26"/>
        <v>101.12720817073043</v>
      </c>
      <c r="AK43" s="63">
        <f ca="1">SUM($AJ$15:AJ43)</f>
        <v>1550.9305408866305</v>
      </c>
      <c r="AM43" s="52">
        <f ca="1">EXP(-AVERAGE(AC$15:AC43)*Z43)</f>
        <v>0.8907273715976598</v>
      </c>
      <c r="AO43" s="52">
        <f t="shared" ca="1" si="27"/>
        <v>29</v>
      </c>
      <c r="AP43" s="71">
        <f t="shared" ca="1" si="28"/>
        <v>46044</v>
      </c>
      <c r="AQ43" s="71">
        <f t="shared" ca="1" si="5"/>
        <v>46075</v>
      </c>
      <c r="AR43" s="72">
        <f t="shared" ca="1" si="6"/>
        <v>31</v>
      </c>
      <c r="AS43" s="73">
        <f ca="1">SUM(AR$15:AR43)/360</f>
        <v>2.4555555555555557</v>
      </c>
      <c r="AT43" s="74">
        <f t="shared" si="7"/>
        <v>25000000</v>
      </c>
      <c r="AU43" s="59">
        <f t="shared" si="29"/>
        <v>0.04</v>
      </c>
      <c r="AV43" s="57">
        <f>Volatilities_Resets!$E32*0.01</f>
        <v>3.8540899999999996E-2</v>
      </c>
      <c r="AW43" s="61">
        <f>IF(AU43=AX$11,Volatilities_Resets!$AA32,IF(AU43&gt;=AW$11,IF(AU43&lt;AX$11,(((Volatilities_Resets!$AA32-Volatilities_Resets!$Y32)/50)*((Calculator!AU43-Calculator!AW$11)*10000)+Volatilities_Resets!$Y32)),IF(AU43&gt;=AW$10,IF(AU43&lt;AX$10,(((Volatilities_Resets!$Y32-Volatilities_Resets!$W32)/50)*((Calculator!AU43-Calculator!AW$10)*10000)+Volatilities_Resets!$W32)),IF(AU43&gt;=AW$9,IF(AU43&lt;AX$9,(((Volatilities_Resets!$W32-Volatilities_Resets!$U32)/50)*((Calculator!AU43-Calculator!AW$9)*10000)+Volatilities_Resets!$U32)),IF(AU43&gt;=AW$8,IF(AU43&lt;AX$8,(((Volatilities_Resets!$U32-Volatilities_Resets!$S32)/50)*((Calculator!AU43-Calculator!AW$8)*10000)+Volatilities_Resets!$S32)),IF(AU43&gt;=AW$7,IF(AU43&lt;AX$7,(((Volatilities_Resets!$S32-Volatilities_Resets!$Q32)/50)*((Calculator!AU43-Calculator!AW$7)*10000)+Volatilities_Resets!$Q32)),IF(AU43&gt;=AW$6,IF(AU43&lt;AX$6,(((Volatilities_Resets!$Q32-Volatilities_Resets!$O32)/50)*((Calculator!AU43-Calculator!AW$6)*10000)+Volatilities_Resets!$O32)),IF(AU43&gt;=AW$5,IF(AU43&lt;AX$5,(((Volatilities_Resets!$O32-Volatilities_Resets!$M32)/50)*((Calculator!AU43-Calculator!AW$5)*10000)+Volatilities_Resets!$M32)),IF(AU43&gt;=AW$4,IF(AU43&lt;AX$4,(((Volatilities_Resets!$M32-Volatilities_Resets!$K32)/50)*((Calculator!AU43-Calculator!AW$4)*10000)+Volatilities_Resets!$K32)),IF(AU43&gt;=AW$3,IF(AU43&lt;AX$3,(((Volatilities_Resets!$K32-Volatilities_Resets!$I32)/50)*((Calculator!AU43-Calculator!AW$3)*10000)+Volatilities_Resets!$I32)),IF(AU43&gt;=AW$2,IF(AU43&lt;AX$2,(((Volatilities_Resets!$I32-Volatilities_Resets!$G32)/50)*((Calculator!AU43-Calculator!AW$2)*10000)+Volatilities_Resets!$G32)),"Well, something broke...")))))))))))/10000</f>
        <v>1.5259999999999999E-2</v>
      </c>
      <c r="AX43" s="63">
        <f t="shared" ca="1" si="30"/>
        <v>16928.042061823147</v>
      </c>
      <c r="AY43" s="63">
        <f t="shared" ca="1" si="31"/>
        <v>6.8190782612593235E-4</v>
      </c>
      <c r="AZ43" s="63">
        <f t="shared" ca="1" si="46"/>
        <v>668643.49687305512</v>
      </c>
      <c r="BC43" s="63">
        <f t="shared" ca="1" si="8"/>
        <v>106.57872890328225</v>
      </c>
      <c r="BD43" s="63">
        <f ca="1">SUM($BC$15:BC43)</f>
        <v>1848.4228224716533</v>
      </c>
      <c r="BF43" s="52">
        <f ca="1">EXP(-AVERAGE(AV$15:AV43)*AS43)</f>
        <v>0.8907273715976598</v>
      </c>
      <c r="BH43" s="52">
        <f t="shared" ca="1" si="32"/>
        <v>29</v>
      </c>
      <c r="BI43" s="71">
        <f t="shared" ca="1" si="33"/>
        <v>46044</v>
      </c>
      <c r="BJ43" s="71">
        <f t="shared" ca="1" si="9"/>
        <v>46075</v>
      </c>
      <c r="BK43" s="72">
        <f t="shared" ca="1" si="10"/>
        <v>31</v>
      </c>
      <c r="BL43" s="73">
        <f ca="1">SUM(BK$15:BK43)/360</f>
        <v>2.4555555555555557</v>
      </c>
      <c r="BM43" s="74">
        <f t="shared" si="11"/>
        <v>25000000</v>
      </c>
      <c r="BN43" s="59">
        <f t="shared" si="34"/>
        <v>0.05</v>
      </c>
      <c r="BO43" s="57">
        <f>Volatilities_Resets!$E32*0.01</f>
        <v>3.8540899999999996E-2</v>
      </c>
      <c r="BP43" s="61">
        <f>IF(BN43=BQ$11,Volatilities_Resets!$AA32,IF(BN43&gt;=BP$11,IF(BN43&lt;BQ$11,(((Volatilities_Resets!$AA32-Volatilities_Resets!$Y32)/50)*((Calculator!BN43-Calculator!BP$11)*10000)+Volatilities_Resets!$Y32)),IF(BN43&gt;=BP$10,IF(BN43&lt;BQ$10,(((Volatilities_Resets!$Y32-Volatilities_Resets!$W32)/50)*((Calculator!BN43-Calculator!BP$10)*10000)+Volatilities_Resets!$W32)),IF(BN43&gt;=BP$9,IF(BN43&lt;BQ$9,(((Volatilities_Resets!$W32-Volatilities_Resets!$U32)/50)*((Calculator!BN43-Calculator!BP$9)*10000)+Volatilities_Resets!$U32)),IF(BN43&gt;=BP$8,IF(BN43&lt;BQ$8,(((Volatilities_Resets!$U32-Volatilities_Resets!$S32)/50)*((Calculator!BN43-Calculator!BP$8)*10000)+Volatilities_Resets!$S32)),IF(BN43&gt;=BP$7,IF(BN43&lt;BQ$7,(((Volatilities_Resets!$S32-Volatilities_Resets!$Q32)/50)*((Calculator!BN43-Calculator!BP$7)*10000)+Volatilities_Resets!$Q32)),IF(BN43&gt;=BP$6,IF(BN43&lt;BQ$6,(((Volatilities_Resets!$Q32-Volatilities_Resets!$O32)/50)*((Calculator!BN43-Calculator!BP$6)*10000)+Volatilities_Resets!$O32)),IF(BN43&gt;=BP$5,IF(BN43&lt;BQ$5,(((Volatilities_Resets!$O32-Volatilities_Resets!$M32)/50)*((Calculator!BN43-Calculator!BP$5)*10000)+Volatilities_Resets!$M32)),IF(BN43&gt;=BP$4,IF(BN43&lt;BQ$4,(((Volatilities_Resets!$M32-Volatilities_Resets!$K32)/50)*((Calculator!BN43-Calculator!BP$4)*10000)+Volatilities_Resets!$K32)),IF(BN43&gt;=BP$3,IF(BN43&lt;BQ$3,(((Volatilities_Resets!$K32-Volatilities_Resets!$I32)/50)*((Calculator!BN43-Calculator!BP$3)*10000)+Volatilities_Resets!$I32)),IF(BN43&gt;=BP$2,IF(BN43&lt;BQ$2,(((Volatilities_Resets!$I32-Volatilities_Resets!$G32)/50)*((Calculator!BN43-Calculator!BP$2)*10000)+Volatilities_Resets!$G32)),"Well, something broke...")))))))))))/10000</f>
        <v>1.4702000000000002E-2</v>
      </c>
      <c r="BQ43" s="63">
        <f t="shared" ca="1" si="35"/>
        <v>8773.634111234911</v>
      </c>
      <c r="BR43" s="63">
        <f t="shared" ca="1" si="36"/>
        <v>3.5518598933791524E-4</v>
      </c>
      <c r="BS43" s="63">
        <f t="shared" ca="1" si="47"/>
        <v>267782.33747043606</v>
      </c>
      <c r="BV43" s="63">
        <f t="shared" ca="1" si="37"/>
        <v>94.431016522048765</v>
      </c>
      <c r="BW43" s="63">
        <f ca="1">SUM($BV$15:BV43)</f>
        <v>2039.4654950868639</v>
      </c>
      <c r="BY43" s="52">
        <f ca="1">EXP(-AVERAGE(BO$15:BO43)*BL43)</f>
        <v>0.8907273715976598</v>
      </c>
      <c r="CA43" s="52">
        <f t="shared" ca="1" si="38"/>
        <v>29</v>
      </c>
      <c r="CB43" s="71">
        <f t="shared" ca="1" si="39"/>
        <v>46044</v>
      </c>
      <c r="CC43" s="71">
        <f t="shared" ca="1" si="12"/>
        <v>46075</v>
      </c>
      <c r="CD43" s="72">
        <f t="shared" ca="1" si="13"/>
        <v>31</v>
      </c>
      <c r="CE43" s="73">
        <f ca="1">SUM(CD$15:CD43)/360</f>
        <v>2.4555555555555557</v>
      </c>
      <c r="CF43" s="74">
        <f t="shared" si="14"/>
        <v>25000000</v>
      </c>
      <c r="CG43" s="59">
        <f t="shared" si="40"/>
        <v>0.06</v>
      </c>
      <c r="CH43" s="57">
        <f>Volatilities_Resets!$E32*0.01</f>
        <v>3.8540899999999996E-2</v>
      </c>
      <c r="CI43" s="61">
        <f>IF(CG43=CJ$11,Volatilities_Resets!$AA32,IF(CG43&gt;=CI$11,IF(CG43&lt;CJ$11,(((Volatilities_Resets!$AA32-Volatilities_Resets!$Y32)/50)*((Calculator!CG43-Calculator!CI$11)*10000)+Volatilities_Resets!$Y32)),IF(CG43&gt;=CI$10,IF(CG43&lt;CJ$10,(((Volatilities_Resets!$Y32-Volatilities_Resets!$W32)/50)*((Calculator!CG43-Calculator!CI$10)*10000)+Volatilities_Resets!$W32)),IF(CG43&gt;=CI$9,IF(CG43&lt;CJ$9,(((Volatilities_Resets!$W32-Volatilities_Resets!$U32)/50)*((Calculator!CG43-Calculator!CI$9)*10000)+Volatilities_Resets!$U32)),IF(CG43&gt;=CI$8,IF(CG43&lt;CJ$8,(((Volatilities_Resets!$U32-Volatilities_Resets!$S32)/50)*((Calculator!CG43-Calculator!CI$8)*10000)+Volatilities_Resets!$S32)),IF(CG43&gt;=CI$7,IF(CG43&lt;CJ$7,(((Volatilities_Resets!$S32-Volatilities_Resets!$Q32)/50)*((Calculator!CG43-Calculator!CI$7)*10000)+Volatilities_Resets!$Q32)),IF(CG43&gt;=CI$6,IF(CG43&lt;CJ$6,(((Volatilities_Resets!$Q32-Volatilities_Resets!$O32)/50)*((Calculator!CG43-Calculator!CI$6)*10000)+Volatilities_Resets!$O32)),IF(CG43&gt;=CI$5,IF(CG43&lt;CJ$5,(((Volatilities_Resets!$O32-Volatilities_Resets!$M32)/50)*((Calculator!CG43-Calculator!CI$5)*10000)+Volatilities_Resets!$M32)),IF(CG43&gt;=CI$4,IF(CG43&lt;CJ$4,(((Volatilities_Resets!$M32-Volatilities_Resets!$K32)/50)*((Calculator!CG43-Calculator!CI$4)*10000)+Volatilities_Resets!$K32)),IF(CG43&gt;=CI$3,IF(CG43&lt;CJ$3,(((Volatilities_Resets!$K32-Volatilities_Resets!$I32)/50)*((Calculator!CG43-Calculator!CI$3)*10000)+Volatilities_Resets!$I32)),IF(CG43&gt;=CI$2,IF(CG43&lt;CJ$2,(((Volatilities_Resets!$I32-Volatilities_Resets!$G32)/50)*((Calculator!CG43-Calculator!CI$2)*10000)+Volatilities_Resets!$G32)),"Well, something broke...")))))))))))/10000</f>
        <v>1.5629000000000001E-2</v>
      </c>
      <c r="CJ43" s="63">
        <f t="shared" ca="1" si="41"/>
        <v>4925.7347816739211</v>
      </c>
      <c r="CK43" s="63">
        <f t="shared" ca="1" si="42"/>
        <v>2.0030383786850701E-4</v>
      </c>
      <c r="CL43" s="63">
        <f t="shared" ca="1" si="48"/>
        <v>68719.896517641799</v>
      </c>
      <c r="CO43" s="63">
        <f t="shared" ca="1" si="43"/>
        <v>72.915980370891845</v>
      </c>
      <c r="CP43" s="63">
        <f ca="1">SUM($CO$15:CO43)</f>
        <v>1364.4355424745704</v>
      </c>
      <c r="CR43" s="52">
        <f ca="1">EXP(-AVERAGE(CH$15:CH43)*CE43)</f>
        <v>0.8907273715976598</v>
      </c>
      <c r="CT43"/>
      <c r="CU43"/>
      <c r="CV43"/>
      <c r="CW43"/>
      <c r="CX43"/>
      <c r="CY43"/>
      <c r="CZ43"/>
      <c r="DA43"/>
      <c r="DB43"/>
      <c r="DC43"/>
      <c r="DD43"/>
      <c r="DE43"/>
      <c r="DF43"/>
      <c r="DG43"/>
      <c r="DH43"/>
      <c r="DI43"/>
      <c r="DJ43"/>
      <c r="DK43"/>
      <c r="DL43"/>
    </row>
    <row r="44" spans="2:116" ht="15.75" customHeight="1" x14ac:dyDescent="0.2">
      <c r="B44" s="52">
        <v>3</v>
      </c>
      <c r="C44" s="52">
        <f t="shared" ca="1" si="15"/>
        <v>30</v>
      </c>
      <c r="D44" s="71">
        <f t="shared" ca="1" si="16"/>
        <v>46075</v>
      </c>
      <c r="E44" s="71">
        <f t="shared" ca="1" si="0"/>
        <v>46103</v>
      </c>
      <c r="F44" s="72">
        <f t="shared" ca="1" si="1"/>
        <v>28</v>
      </c>
      <c r="G44" s="73">
        <f ca="1">SUM($F$15:F44)/360</f>
        <v>2.5333333333333332</v>
      </c>
      <c r="H44" s="74">
        <f t="shared" si="2"/>
        <v>25000000</v>
      </c>
      <c r="I44" s="59">
        <f>IF('Cap Pricer'!$E$22=DataValidation!$C$2,'Cap Pricer'!$E$23,IF('Cap Pricer'!$E$22=DataValidation!$C$3,VLOOKUP($B44,'Cap Pricer'!$C$25:$E$31,3),""))</f>
        <v>0.02</v>
      </c>
      <c r="J44" s="57">
        <f>Volatilities_Resets!$E33*0.01</f>
        <v>3.8534700000000005E-2</v>
      </c>
      <c r="K44" s="61">
        <f>IF(I44=L$11,Volatilities_Resets!$AA33,IF(I44&gt;=K$11,IF(I44&lt;L$11,(((Volatilities_Resets!$AA33-Volatilities_Resets!$Y33)/50)*((Calculator!I44-Calculator!K$11)*10000)+Volatilities_Resets!$Y33)),IF(I44&gt;=K$10,IF(I44&lt;L$10,(((Volatilities_Resets!$Y33-Volatilities_Resets!$W33)/50)*((Calculator!I44-Calculator!K$10)*10000)+Volatilities_Resets!$W33)),IF(I44&gt;=K$9,IF(I44&lt;L$9,(((Volatilities_Resets!$W33-Volatilities_Resets!$U33)/50)*((Calculator!I44-Calculator!K$9)*10000)+Volatilities_Resets!$U33)),IF(I44&gt;=K$8,IF(I44&lt;L$8,(((Volatilities_Resets!$U33-Volatilities_Resets!$S33)/50)*((Calculator!I44-Calculator!K$8)*10000)+Volatilities_Resets!$S33)),IF(I44&gt;=K$7,IF(I44&lt;L$7,(((Volatilities_Resets!$S33-Volatilities_Resets!$Q33)/50)*((Calculator!I44-Calculator!K$7)*10000)+Volatilities_Resets!$Q33)),IF(I44&gt;=K$6,IF(I44&lt;L$6,(((Volatilities_Resets!$Q33-Volatilities_Resets!$O33)/50)*((Calculator!I44-Calculator!K$6)*10000)+Volatilities_Resets!$O33)),IF(I44&gt;=K$5,IF(I44&lt;L$5,(((Volatilities_Resets!$O33-Volatilities_Resets!$M33)/50)*((Calculator!I44-Calculator!K$5)*10000)+Volatilities_Resets!$M33)),IF(I44&gt;=K$4,IF(I44&lt;L$4,(((Volatilities_Resets!$M33-Volatilities_Resets!$K33)/50)*((Calculator!I44-Calculator!K$4)*10000)+Volatilities_Resets!$K33)),IF(I44&gt;=K$3,IF(I44&lt;L$3,(((Volatilities_Resets!$K33-Volatilities_Resets!$I33)/50)*((Calculator!I44-Calculator!K$3)*10000)+Volatilities_Resets!$I33)),IF(I44&gt;=K$2,IF(I44&lt;L$2,(((Volatilities_Resets!$I33-Volatilities_Resets!$G33)/50)*((Calculator!I44-Calculator!K$2)*10000)+Volatilities_Resets!$G33)),"Well, something broke...")))))))))))/10000</f>
        <v>1.7121999999999998E-2</v>
      </c>
      <c r="L44" s="47">
        <f t="shared" ca="1" si="17"/>
        <v>38960.705531448257</v>
      </c>
      <c r="M44" s="63">
        <f t="shared" ca="1" si="18"/>
        <v>1.561913352398603E-3</v>
      </c>
      <c r="N44" s="63">
        <f t="shared" ca="1" si="44"/>
        <v>1711959.1951393047</v>
      </c>
      <c r="Q44" s="63">
        <f t="shared" ca="1" si="19"/>
        <v>77.379720866939309</v>
      </c>
      <c r="R44" s="63">
        <f ca="1">SUM($Q$15:Q44)</f>
        <v>1288.9966514191983</v>
      </c>
      <c r="T44" s="52">
        <f ca="1">EXP(-AVERAGE(J$15:J44)*G44)</f>
        <v>0.88811258737316123</v>
      </c>
      <c r="U44" s="57"/>
      <c r="V44" s="52">
        <f t="shared" ca="1" si="20"/>
        <v>30</v>
      </c>
      <c r="W44" s="71">
        <f t="shared" ca="1" si="21"/>
        <v>46075</v>
      </c>
      <c r="X44" s="71">
        <f t="shared" ca="1" si="3"/>
        <v>46103</v>
      </c>
      <c r="Y44" s="72">
        <f t="shared" ca="1" si="4"/>
        <v>28</v>
      </c>
      <c r="Z44" s="73">
        <f ca="1">SUM(Y$15:Y44)/360</f>
        <v>2.5333333333333332</v>
      </c>
      <c r="AA44" s="74">
        <f t="shared" si="22"/>
        <v>25000000</v>
      </c>
      <c r="AB44" s="59">
        <f t="shared" si="23"/>
        <v>0.03</v>
      </c>
      <c r="AC44" s="57">
        <f>Volatilities_Resets!$E33*0.01</f>
        <v>3.8534700000000005E-2</v>
      </c>
      <c r="AD44" s="61">
        <f>IF(AB44=AE$11,Volatilities_Resets!$AA33,IF(AB44&gt;=AD$11,IF(AB44&lt;AE$11,(((Volatilities_Resets!$AA33-Volatilities_Resets!$Y33)/50)*((Calculator!AB44-Calculator!AD$11)*10000)+Volatilities_Resets!$Y33)),IF(AB44&gt;=AD$10,IF(AB44&lt;AE$10,(((Volatilities_Resets!$Y33-Volatilities_Resets!$W33)/50)*((Calculator!AB44-Calculator!AD$10)*10000)+Volatilities_Resets!$W33)),IF(AB44&gt;=AD$9,IF(AB44&lt;AE$9,(((Volatilities_Resets!$W33-Volatilities_Resets!$U33)/50)*((Calculator!AB44-Calculator!AD$9)*10000)+Volatilities_Resets!$U33)),IF(AB44&gt;=AD$8,IF(AB44&lt;AE$8,(((Volatilities_Resets!$U33-Volatilities_Resets!$S33)/50)*((Calculator!AB44-Calculator!AD$8)*10000)+Volatilities_Resets!$S33)),IF(AB44&gt;=AD$7,IF(AB44&lt;AE$7,(((Volatilities_Resets!$S33-Volatilities_Resets!$Q33)/50)*((Calculator!AB44-Calculator!AD$7)*10000)+Volatilities_Resets!$Q33)),IF(AB44&gt;=AD$6,IF(AB44&lt;AE$6,(((Volatilities_Resets!$Q33-Volatilities_Resets!$O33)/50)*((Calculator!AB44-Calculator!AD$6)*10000)+Volatilities_Resets!$O33)),IF(AB44&gt;=AD$5,IF(AB44&lt;AE$5,(((Volatilities_Resets!$O33-Volatilities_Resets!$M33)/50)*((Calculator!AB44-Calculator!AD$5)*10000)+Volatilities_Resets!$M33)),IF(AB44&gt;=AD$4,IF(AB44&lt;AE$4,(((Volatilities_Resets!$M33-Volatilities_Resets!$K33)/50)*((Calculator!AB44-Calculator!AD$4)*10000)+Volatilities_Resets!$K33)),IF(AB44&gt;=AD$3,IF(AB44&lt;AE$3,(((Volatilities_Resets!$K33-Volatilities_Resets!$I33)/50)*((Calculator!AB44-Calculator!AD$3)*10000)+Volatilities_Resets!$I33)),IF(AB44&gt;=AD$2,IF(AB44&lt;AE$2,(((Volatilities_Resets!$I33-Volatilities_Resets!$G33)/50)*((Calculator!AB44-Calculator!AD$2)*10000)+Volatilities_Resets!$G33)),"Well, something broke...")))))))))))/10000</f>
        <v>1.6480999999999999E-2</v>
      </c>
      <c r="AE44" s="63">
        <f t="shared" ca="1" si="24"/>
        <v>26389.268976251995</v>
      </c>
      <c r="AF44" s="63">
        <f t="shared" ca="1" si="25"/>
        <v>1.059732087607501E-3</v>
      </c>
      <c r="AG44" s="63">
        <f t="shared" ca="1" si="45"/>
        <v>1182592.9858184922</v>
      </c>
      <c r="AJ44" s="63">
        <f t="shared" ca="1" si="26"/>
        <v>92.393206801029351</v>
      </c>
      <c r="AK44" s="63">
        <f ca="1">SUM($AJ$15:AJ44)</f>
        <v>1643.3237476876598</v>
      </c>
      <c r="AM44" s="52">
        <f ca="1">EXP(-AVERAGE(AC$15:AC44)*Z44)</f>
        <v>0.88811258737316123</v>
      </c>
      <c r="AO44" s="52">
        <f t="shared" ca="1" si="27"/>
        <v>30</v>
      </c>
      <c r="AP44" s="71">
        <f t="shared" ca="1" si="28"/>
        <v>46075</v>
      </c>
      <c r="AQ44" s="71">
        <f t="shared" ca="1" si="5"/>
        <v>46103</v>
      </c>
      <c r="AR44" s="72">
        <f t="shared" ca="1" si="6"/>
        <v>28</v>
      </c>
      <c r="AS44" s="73">
        <f ca="1">SUM(AR$15:AR44)/360</f>
        <v>2.5333333333333332</v>
      </c>
      <c r="AT44" s="74">
        <f t="shared" si="7"/>
        <v>25000000</v>
      </c>
      <c r="AU44" s="59">
        <f t="shared" si="29"/>
        <v>0.04</v>
      </c>
      <c r="AV44" s="57">
        <f>Volatilities_Resets!$E33*0.01</f>
        <v>3.8534700000000005E-2</v>
      </c>
      <c r="AW44" s="61">
        <f>IF(AU44=AX$11,Volatilities_Resets!$AA33,IF(AU44&gt;=AW$11,IF(AU44&lt;AX$11,(((Volatilities_Resets!$AA33-Volatilities_Resets!$Y33)/50)*((Calculator!AU44-Calculator!AW$11)*10000)+Volatilities_Resets!$Y33)),IF(AU44&gt;=AW$10,IF(AU44&lt;AX$10,(((Volatilities_Resets!$Y33-Volatilities_Resets!$W33)/50)*((Calculator!AU44-Calculator!AW$10)*10000)+Volatilities_Resets!$W33)),IF(AU44&gt;=AW$9,IF(AU44&lt;AX$9,(((Volatilities_Resets!$W33-Volatilities_Resets!$U33)/50)*((Calculator!AU44-Calculator!AW$9)*10000)+Volatilities_Resets!$U33)),IF(AU44&gt;=AW$8,IF(AU44&lt;AX$8,(((Volatilities_Resets!$U33-Volatilities_Resets!$S33)/50)*((Calculator!AU44-Calculator!AW$8)*10000)+Volatilities_Resets!$S33)),IF(AU44&gt;=AW$7,IF(AU44&lt;AX$7,(((Volatilities_Resets!$S33-Volatilities_Resets!$Q33)/50)*((Calculator!AU44-Calculator!AW$7)*10000)+Volatilities_Resets!$Q33)),IF(AU44&gt;=AW$6,IF(AU44&lt;AX$6,(((Volatilities_Resets!$Q33-Volatilities_Resets!$O33)/50)*((Calculator!AU44-Calculator!AW$6)*10000)+Volatilities_Resets!$O33)),IF(AU44&gt;=AW$5,IF(AU44&lt;AX$5,(((Volatilities_Resets!$O33-Volatilities_Resets!$M33)/50)*((Calculator!AU44-Calculator!AW$5)*10000)+Volatilities_Resets!$M33)),IF(AU44&gt;=AW$4,IF(AU44&lt;AX$4,(((Volatilities_Resets!$M33-Volatilities_Resets!$K33)/50)*((Calculator!AU44-Calculator!AW$4)*10000)+Volatilities_Resets!$K33)),IF(AU44&gt;=AW$3,IF(AU44&lt;AX$3,(((Volatilities_Resets!$K33-Volatilities_Resets!$I33)/50)*((Calculator!AU44-Calculator!AW$3)*10000)+Volatilities_Resets!$I33)),IF(AU44&gt;=AW$2,IF(AU44&lt;AX$2,(((Volatilities_Resets!$I33-Volatilities_Resets!$G33)/50)*((Calculator!AU44-Calculator!AW$2)*10000)+Volatilities_Resets!$G33)),"Well, something broke...")))))))))))/10000</f>
        <v>1.5259999999999999E-2</v>
      </c>
      <c r="AX44" s="63">
        <f t="shared" ca="1" si="30"/>
        <v>15498.258761553019</v>
      </c>
      <c r="AY44" s="63">
        <f t="shared" ca="1" si="31"/>
        <v>6.2430854052014E-4</v>
      </c>
      <c r="AZ44" s="63">
        <f t="shared" ca="1" si="46"/>
        <v>684141.7556346081</v>
      </c>
      <c r="BC44" s="63">
        <f t="shared" ca="1" si="8"/>
        <v>97.208142510972365</v>
      </c>
      <c r="BD44" s="63">
        <f ca="1">SUM($BC$15:BC44)</f>
        <v>1945.6309649826255</v>
      </c>
      <c r="BF44" s="52">
        <f ca="1">EXP(-AVERAGE(AV$15:AV44)*AS44)</f>
        <v>0.88811258737316123</v>
      </c>
      <c r="BH44" s="52">
        <f t="shared" ca="1" si="32"/>
        <v>30</v>
      </c>
      <c r="BI44" s="71">
        <f t="shared" ca="1" si="33"/>
        <v>46075</v>
      </c>
      <c r="BJ44" s="71">
        <f t="shared" ca="1" si="9"/>
        <v>46103</v>
      </c>
      <c r="BK44" s="72">
        <f t="shared" ca="1" si="10"/>
        <v>28</v>
      </c>
      <c r="BL44" s="73">
        <f ca="1">SUM(BK$15:BK44)/360</f>
        <v>2.5333333333333332</v>
      </c>
      <c r="BM44" s="74">
        <f t="shared" si="11"/>
        <v>25000000</v>
      </c>
      <c r="BN44" s="59">
        <f t="shared" si="34"/>
        <v>0.05</v>
      </c>
      <c r="BO44" s="57">
        <f>Volatilities_Resets!$E33*0.01</f>
        <v>3.8534700000000005E-2</v>
      </c>
      <c r="BP44" s="61">
        <f>IF(BN44=BQ$11,Volatilities_Resets!$AA33,IF(BN44&gt;=BP$11,IF(BN44&lt;BQ$11,(((Volatilities_Resets!$AA33-Volatilities_Resets!$Y33)/50)*((Calculator!BN44-Calculator!BP$11)*10000)+Volatilities_Resets!$Y33)),IF(BN44&gt;=BP$10,IF(BN44&lt;BQ$10,(((Volatilities_Resets!$Y33-Volatilities_Resets!$W33)/50)*((Calculator!BN44-Calculator!BP$10)*10000)+Volatilities_Resets!$W33)),IF(BN44&gt;=BP$9,IF(BN44&lt;BQ$9,(((Volatilities_Resets!$W33-Volatilities_Resets!$U33)/50)*((Calculator!BN44-Calculator!BP$9)*10000)+Volatilities_Resets!$U33)),IF(BN44&gt;=BP$8,IF(BN44&lt;BQ$8,(((Volatilities_Resets!$U33-Volatilities_Resets!$S33)/50)*((Calculator!BN44-Calculator!BP$8)*10000)+Volatilities_Resets!$S33)),IF(BN44&gt;=BP$7,IF(BN44&lt;BQ$7,(((Volatilities_Resets!$S33-Volatilities_Resets!$Q33)/50)*((Calculator!BN44-Calculator!BP$7)*10000)+Volatilities_Resets!$Q33)),IF(BN44&gt;=BP$6,IF(BN44&lt;BQ$6,(((Volatilities_Resets!$Q33-Volatilities_Resets!$O33)/50)*((Calculator!BN44-Calculator!BP$6)*10000)+Volatilities_Resets!$O33)),IF(BN44&gt;=BP$5,IF(BN44&lt;BQ$5,(((Volatilities_Resets!$O33-Volatilities_Resets!$M33)/50)*((Calculator!BN44-Calculator!BP$5)*10000)+Volatilities_Resets!$M33)),IF(BN44&gt;=BP$4,IF(BN44&lt;BQ$4,(((Volatilities_Resets!$M33-Volatilities_Resets!$K33)/50)*((Calculator!BN44-Calculator!BP$4)*10000)+Volatilities_Resets!$K33)),IF(BN44&gt;=BP$3,IF(BN44&lt;BQ$3,(((Volatilities_Resets!$K33-Volatilities_Resets!$I33)/50)*((Calculator!BN44-Calculator!BP$3)*10000)+Volatilities_Resets!$I33)),IF(BN44&gt;=BP$2,IF(BN44&lt;BQ$2,(((Volatilities_Resets!$I33-Volatilities_Resets!$G33)/50)*((Calculator!BN44-Calculator!BP$2)*10000)+Volatilities_Resets!$G33)),"Well, something broke...")))))))))))/10000</f>
        <v>1.4703000000000001E-2</v>
      </c>
      <c r="BQ44" s="63">
        <f t="shared" ca="1" si="35"/>
        <v>8119.7464927069404</v>
      </c>
      <c r="BR44" s="63">
        <f t="shared" ca="1" si="36"/>
        <v>3.2868308881436317E-4</v>
      </c>
      <c r="BS44" s="63">
        <f t="shared" ca="1" si="47"/>
        <v>275902.083963143</v>
      </c>
      <c r="BV44" s="63">
        <f t="shared" ca="1" si="37"/>
        <v>86.440644366053249</v>
      </c>
      <c r="BW44" s="63">
        <f ca="1">SUM($BV$15:BV44)</f>
        <v>2125.9061394529172</v>
      </c>
      <c r="BY44" s="52">
        <f ca="1">EXP(-AVERAGE(BO$15:BO44)*BL44)</f>
        <v>0.88811258737316123</v>
      </c>
      <c r="CA44" s="52">
        <f t="shared" ca="1" si="38"/>
        <v>30</v>
      </c>
      <c r="CB44" s="71">
        <f t="shared" ca="1" si="39"/>
        <v>46075</v>
      </c>
      <c r="CC44" s="71">
        <f t="shared" ca="1" si="12"/>
        <v>46103</v>
      </c>
      <c r="CD44" s="72">
        <f t="shared" ca="1" si="13"/>
        <v>28</v>
      </c>
      <c r="CE44" s="73">
        <f ca="1">SUM(CD$15:CD44)/360</f>
        <v>2.5333333333333332</v>
      </c>
      <c r="CF44" s="74">
        <f t="shared" si="14"/>
        <v>25000000</v>
      </c>
      <c r="CG44" s="59">
        <f t="shared" si="40"/>
        <v>0.06</v>
      </c>
      <c r="CH44" s="57">
        <f>Volatilities_Resets!$E33*0.01</f>
        <v>3.8534700000000005E-2</v>
      </c>
      <c r="CI44" s="61">
        <f>IF(CG44=CJ$11,Volatilities_Resets!$AA33,IF(CG44&gt;=CI$11,IF(CG44&lt;CJ$11,(((Volatilities_Resets!$AA33-Volatilities_Resets!$Y33)/50)*((Calculator!CG44-Calculator!CI$11)*10000)+Volatilities_Resets!$Y33)),IF(CG44&gt;=CI$10,IF(CG44&lt;CJ$10,(((Volatilities_Resets!$Y33-Volatilities_Resets!$W33)/50)*((Calculator!CG44-Calculator!CI$10)*10000)+Volatilities_Resets!$W33)),IF(CG44&gt;=CI$9,IF(CG44&lt;CJ$9,(((Volatilities_Resets!$W33-Volatilities_Resets!$U33)/50)*((Calculator!CG44-Calculator!CI$9)*10000)+Volatilities_Resets!$U33)),IF(CG44&gt;=CI$8,IF(CG44&lt;CJ$8,(((Volatilities_Resets!$U33-Volatilities_Resets!$S33)/50)*((Calculator!CG44-Calculator!CI$8)*10000)+Volatilities_Resets!$S33)),IF(CG44&gt;=CI$7,IF(CG44&lt;CJ$7,(((Volatilities_Resets!$S33-Volatilities_Resets!$Q33)/50)*((Calculator!CG44-Calculator!CI$7)*10000)+Volatilities_Resets!$Q33)),IF(CG44&gt;=CI$6,IF(CG44&lt;CJ$6,(((Volatilities_Resets!$Q33-Volatilities_Resets!$O33)/50)*((Calculator!CG44-Calculator!CI$6)*10000)+Volatilities_Resets!$O33)),IF(CG44&gt;=CI$5,IF(CG44&lt;CJ$5,(((Volatilities_Resets!$O33-Volatilities_Resets!$M33)/50)*((Calculator!CG44-Calculator!CI$5)*10000)+Volatilities_Resets!$M33)),IF(CG44&gt;=CI$4,IF(CG44&lt;CJ$4,(((Volatilities_Resets!$M33-Volatilities_Resets!$K33)/50)*((Calculator!CG44-Calculator!CI$4)*10000)+Volatilities_Resets!$K33)),IF(CG44&gt;=CI$3,IF(CG44&lt;CJ$3,(((Volatilities_Resets!$K33-Volatilities_Resets!$I33)/50)*((Calculator!CG44-Calculator!CI$3)*10000)+Volatilities_Resets!$I33)),IF(CG44&gt;=CI$2,IF(CG44&lt;CJ$2,(((Volatilities_Resets!$I33-Volatilities_Resets!$G33)/50)*((Calculator!CG44-Calculator!CI$2)*10000)+Volatilities_Resets!$G33)),"Well, something broke...")))))))))))/10000</f>
        <v>1.5629000000000001E-2</v>
      </c>
      <c r="CJ44" s="63">
        <f t="shared" ca="1" si="41"/>
        <v>4615.6000906439785</v>
      </c>
      <c r="CK44" s="63">
        <f t="shared" ca="1" si="42"/>
        <v>1.8765385784886567E-4</v>
      </c>
      <c r="CL44" s="63">
        <f t="shared" ca="1" si="48"/>
        <v>73335.496608285772</v>
      </c>
      <c r="CO44" s="63">
        <f t="shared" ca="1" si="43"/>
        <v>67.271291836166313</v>
      </c>
      <c r="CP44" s="63">
        <f ca="1">SUM($CO$15:CO44)</f>
        <v>1431.7068343107367</v>
      </c>
      <c r="CR44" s="52">
        <f ca="1">EXP(-AVERAGE(CH$15:CH44)*CE44)</f>
        <v>0.88811258737316123</v>
      </c>
      <c r="CT44"/>
      <c r="CU44"/>
      <c r="CV44"/>
      <c r="CW44"/>
      <c r="CX44"/>
      <c r="CY44"/>
      <c r="CZ44"/>
      <c r="DA44"/>
      <c r="DB44"/>
      <c r="DC44"/>
      <c r="DD44"/>
      <c r="DE44"/>
      <c r="DF44"/>
      <c r="DG44"/>
      <c r="DH44"/>
      <c r="DI44"/>
      <c r="DJ44"/>
      <c r="DK44"/>
      <c r="DL44"/>
    </row>
    <row r="45" spans="2:116" ht="15.75" customHeight="1" x14ac:dyDescent="0.2">
      <c r="B45" s="52">
        <v>3</v>
      </c>
      <c r="C45" s="52">
        <f t="shared" ca="1" si="15"/>
        <v>31</v>
      </c>
      <c r="D45" s="71">
        <f t="shared" ca="1" si="16"/>
        <v>46103</v>
      </c>
      <c r="E45" s="71">
        <f t="shared" ca="1" si="0"/>
        <v>46134</v>
      </c>
      <c r="F45" s="72">
        <f t="shared" ca="1" si="1"/>
        <v>31</v>
      </c>
      <c r="G45" s="73">
        <f ca="1">SUM($F$15:F45)/360</f>
        <v>2.6194444444444445</v>
      </c>
      <c r="H45" s="74">
        <f t="shared" si="2"/>
        <v>25000000</v>
      </c>
      <c r="I45" s="59">
        <f>IF('Cap Pricer'!$E$22=DataValidation!$C$2,'Cap Pricer'!$E$23,IF('Cap Pricer'!$E$22=DataValidation!$C$3,VLOOKUP($B45,'Cap Pricer'!$C$25:$E$31,3),""))</f>
        <v>0.02</v>
      </c>
      <c r="J45" s="57">
        <f>Volatilities_Resets!$E34*0.01</f>
        <v>3.8544999999999996E-2</v>
      </c>
      <c r="K45" s="61">
        <f>IF(I45=L$11,Volatilities_Resets!$AA34,IF(I45&gt;=K$11,IF(I45&lt;L$11,(((Volatilities_Resets!$AA34-Volatilities_Resets!$Y34)/50)*((Calculator!I45-Calculator!K$11)*10000)+Volatilities_Resets!$Y34)),IF(I45&gt;=K$10,IF(I45&lt;L$10,(((Volatilities_Resets!$Y34-Volatilities_Resets!$W34)/50)*((Calculator!I45-Calculator!K$10)*10000)+Volatilities_Resets!$W34)),IF(I45&gt;=K$9,IF(I45&lt;L$9,(((Volatilities_Resets!$W34-Volatilities_Resets!$U34)/50)*((Calculator!I45-Calculator!K$9)*10000)+Volatilities_Resets!$U34)),IF(I45&gt;=K$8,IF(I45&lt;L$8,(((Volatilities_Resets!$U34-Volatilities_Resets!$S34)/50)*((Calculator!I45-Calculator!K$8)*10000)+Volatilities_Resets!$S34)),IF(I45&gt;=K$7,IF(I45&lt;L$7,(((Volatilities_Resets!$S34-Volatilities_Resets!$Q34)/50)*((Calculator!I45-Calculator!K$7)*10000)+Volatilities_Resets!$Q34)),IF(I45&gt;=K$6,IF(I45&lt;L$6,(((Volatilities_Resets!$Q34-Volatilities_Resets!$O34)/50)*((Calculator!I45-Calculator!K$6)*10000)+Volatilities_Resets!$O34)),IF(I45&gt;=K$5,IF(I45&lt;L$5,(((Volatilities_Resets!$O34-Volatilities_Resets!$M34)/50)*((Calculator!I45-Calculator!K$5)*10000)+Volatilities_Resets!$M34)),IF(I45&gt;=K$4,IF(I45&lt;L$4,(((Volatilities_Resets!$M34-Volatilities_Resets!$K34)/50)*((Calculator!I45-Calculator!K$4)*10000)+Volatilities_Resets!$K34)),IF(I45&gt;=K$3,IF(I45&lt;L$3,(((Volatilities_Resets!$K34-Volatilities_Resets!$I34)/50)*((Calculator!I45-Calculator!K$3)*10000)+Volatilities_Resets!$I34)),IF(I45&gt;=K$2,IF(I45&lt;L$2,(((Volatilities_Resets!$I34-Volatilities_Resets!$G34)/50)*((Calculator!I45-Calculator!K$2)*10000)+Volatilities_Resets!$G34)),"Well, something broke...")))))))))))/10000</f>
        <v>1.7121999999999998E-2</v>
      </c>
      <c r="L45" s="47">
        <f t="shared" ca="1" si="17"/>
        <v>43284.371645489809</v>
      </c>
      <c r="M45" s="63">
        <f t="shared" ca="1" si="18"/>
        <v>1.7353140777125776E-3</v>
      </c>
      <c r="N45" s="63">
        <f t="shared" ca="1" si="44"/>
        <v>1755243.5667847944</v>
      </c>
      <c r="Q45" s="63">
        <f t="shared" ca="1" si="19"/>
        <v>87.170608504935799</v>
      </c>
      <c r="R45" s="63">
        <f ca="1">SUM($Q$15:Q45)</f>
        <v>1376.1672599241342</v>
      </c>
      <c r="T45" s="52">
        <f ca="1">EXP(-AVERAGE(J$15:J45)*G45)</f>
        <v>0.88515785261681035</v>
      </c>
      <c r="U45" s="57"/>
      <c r="V45" s="52">
        <f t="shared" ca="1" si="20"/>
        <v>31</v>
      </c>
      <c r="W45" s="71">
        <f t="shared" ca="1" si="21"/>
        <v>46103</v>
      </c>
      <c r="X45" s="71">
        <f t="shared" ca="1" si="3"/>
        <v>46134</v>
      </c>
      <c r="Y45" s="72">
        <f t="shared" ca="1" si="4"/>
        <v>31</v>
      </c>
      <c r="Z45" s="73">
        <f ca="1">SUM(Y$15:Y45)/360</f>
        <v>2.6194444444444445</v>
      </c>
      <c r="AA45" s="74">
        <f t="shared" si="22"/>
        <v>25000000</v>
      </c>
      <c r="AB45" s="59">
        <f t="shared" si="23"/>
        <v>0.03</v>
      </c>
      <c r="AC45" s="57">
        <f>Volatilities_Resets!$E34*0.01</f>
        <v>3.8544999999999996E-2</v>
      </c>
      <c r="AD45" s="61">
        <f>IF(AB45=AE$11,Volatilities_Resets!$AA34,IF(AB45&gt;=AD$11,IF(AB45&lt;AE$11,(((Volatilities_Resets!$AA34-Volatilities_Resets!$Y34)/50)*((Calculator!AB45-Calculator!AD$11)*10000)+Volatilities_Resets!$Y34)),IF(AB45&gt;=AD$10,IF(AB45&lt;AE$10,(((Volatilities_Resets!$Y34-Volatilities_Resets!$W34)/50)*((Calculator!AB45-Calculator!AD$10)*10000)+Volatilities_Resets!$W34)),IF(AB45&gt;=AD$9,IF(AB45&lt;AE$9,(((Volatilities_Resets!$W34-Volatilities_Resets!$U34)/50)*((Calculator!AB45-Calculator!AD$9)*10000)+Volatilities_Resets!$U34)),IF(AB45&gt;=AD$8,IF(AB45&lt;AE$8,(((Volatilities_Resets!$U34-Volatilities_Resets!$S34)/50)*((Calculator!AB45-Calculator!AD$8)*10000)+Volatilities_Resets!$S34)),IF(AB45&gt;=AD$7,IF(AB45&lt;AE$7,(((Volatilities_Resets!$S34-Volatilities_Resets!$Q34)/50)*((Calculator!AB45-Calculator!AD$7)*10000)+Volatilities_Resets!$Q34)),IF(AB45&gt;=AD$6,IF(AB45&lt;AE$6,(((Volatilities_Resets!$Q34-Volatilities_Resets!$O34)/50)*((Calculator!AB45-Calculator!AD$6)*10000)+Volatilities_Resets!$O34)),IF(AB45&gt;=AD$5,IF(AB45&lt;AE$5,(((Volatilities_Resets!$O34-Volatilities_Resets!$M34)/50)*((Calculator!AB45-Calculator!AD$5)*10000)+Volatilities_Resets!$M34)),IF(AB45&gt;=AD$4,IF(AB45&lt;AE$4,(((Volatilities_Resets!$M34-Volatilities_Resets!$K34)/50)*((Calculator!AB45-Calculator!AD$4)*10000)+Volatilities_Resets!$K34)),IF(AB45&gt;=AD$3,IF(AB45&lt;AE$3,(((Volatilities_Resets!$K34-Volatilities_Resets!$I34)/50)*((Calculator!AB45-Calculator!AD$3)*10000)+Volatilities_Resets!$I34)),IF(AB45&gt;=AD$2,IF(AB45&lt;AE$2,(((Volatilities_Resets!$I34-Volatilities_Resets!$G34)/50)*((Calculator!AB45-Calculator!AD$2)*10000)+Volatilities_Resets!$G34)),"Well, something broke...")))))))))))/10000</f>
        <v>1.6480999999999999E-2</v>
      </c>
      <c r="AE45" s="63">
        <f t="shared" ca="1" si="24"/>
        <v>29450.806733280417</v>
      </c>
      <c r="AF45" s="63">
        <f t="shared" ca="1" si="25"/>
        <v>1.1827090233123159E-3</v>
      </c>
      <c r="AG45" s="63">
        <f t="shared" ca="1" si="45"/>
        <v>1212043.7925517727</v>
      </c>
      <c r="AJ45" s="63">
        <f t="shared" ca="1" si="26"/>
        <v>103.4916377781731</v>
      </c>
      <c r="AK45" s="63">
        <f ca="1">SUM($AJ$15:AJ45)</f>
        <v>1746.8153854658328</v>
      </c>
      <c r="AM45" s="52">
        <f ca="1">EXP(-AVERAGE(AC$15:AC45)*Z45)</f>
        <v>0.88515785261681035</v>
      </c>
      <c r="AO45" s="52">
        <f t="shared" ca="1" si="27"/>
        <v>31</v>
      </c>
      <c r="AP45" s="71">
        <f t="shared" ca="1" si="28"/>
        <v>46103</v>
      </c>
      <c r="AQ45" s="71">
        <f t="shared" ca="1" si="5"/>
        <v>46134</v>
      </c>
      <c r="AR45" s="72">
        <f t="shared" ca="1" si="6"/>
        <v>31</v>
      </c>
      <c r="AS45" s="73">
        <f ca="1">SUM(AR$15:AR45)/360</f>
        <v>2.6194444444444445</v>
      </c>
      <c r="AT45" s="74">
        <f t="shared" si="7"/>
        <v>25000000</v>
      </c>
      <c r="AU45" s="59">
        <f t="shared" si="29"/>
        <v>0.04</v>
      </c>
      <c r="AV45" s="57">
        <f>Volatilities_Resets!$E34*0.01</f>
        <v>3.8544999999999996E-2</v>
      </c>
      <c r="AW45" s="61">
        <f>IF(AU45=AX$11,Volatilities_Resets!$AA34,IF(AU45&gt;=AW$11,IF(AU45&lt;AX$11,(((Volatilities_Resets!$AA34-Volatilities_Resets!$Y34)/50)*((Calculator!AU45-Calculator!AW$11)*10000)+Volatilities_Resets!$Y34)),IF(AU45&gt;=AW$10,IF(AU45&lt;AX$10,(((Volatilities_Resets!$Y34-Volatilities_Resets!$W34)/50)*((Calculator!AU45-Calculator!AW$10)*10000)+Volatilities_Resets!$W34)),IF(AU45&gt;=AW$9,IF(AU45&lt;AX$9,(((Volatilities_Resets!$W34-Volatilities_Resets!$U34)/50)*((Calculator!AU45-Calculator!AW$9)*10000)+Volatilities_Resets!$U34)),IF(AU45&gt;=AW$8,IF(AU45&lt;AX$8,(((Volatilities_Resets!$U34-Volatilities_Resets!$S34)/50)*((Calculator!AU45-Calculator!AW$8)*10000)+Volatilities_Resets!$S34)),IF(AU45&gt;=AW$7,IF(AU45&lt;AX$7,(((Volatilities_Resets!$S34-Volatilities_Resets!$Q34)/50)*((Calculator!AU45-Calculator!AW$7)*10000)+Volatilities_Resets!$Q34)),IF(AU45&gt;=AW$6,IF(AU45&lt;AX$6,(((Volatilities_Resets!$Q34-Volatilities_Resets!$O34)/50)*((Calculator!AU45-Calculator!AW$6)*10000)+Volatilities_Resets!$O34)),IF(AU45&gt;=AW$5,IF(AU45&lt;AX$5,(((Volatilities_Resets!$O34-Volatilities_Resets!$M34)/50)*((Calculator!AU45-Calculator!AW$5)*10000)+Volatilities_Resets!$M34)),IF(AU45&gt;=AW$4,IF(AU45&lt;AX$4,(((Volatilities_Resets!$M34-Volatilities_Resets!$K34)/50)*((Calculator!AU45-Calculator!AW$4)*10000)+Volatilities_Resets!$K34)),IF(AU45&gt;=AW$3,IF(AU45&lt;AX$3,(((Volatilities_Resets!$K34-Volatilities_Resets!$I34)/50)*((Calculator!AU45-Calculator!AW$3)*10000)+Volatilities_Resets!$I34)),IF(AU45&gt;=AW$2,IF(AU45&lt;AX$2,(((Volatilities_Resets!$I34-Volatilities_Resets!$G34)/50)*((Calculator!AU45-Calculator!AW$2)*10000)+Volatilities_Resets!$G34)),"Well, something broke...")))))))))))/10000</f>
        <v>1.5259999999999999E-2</v>
      </c>
      <c r="AX45" s="63">
        <f t="shared" ca="1" si="30"/>
        <v>17421.682260124308</v>
      </c>
      <c r="AY45" s="63">
        <f t="shared" ca="1" si="31"/>
        <v>7.0178028007719998E-4</v>
      </c>
      <c r="AZ45" s="63">
        <f t="shared" ca="1" si="46"/>
        <v>701563.43789473246</v>
      </c>
      <c r="BC45" s="63">
        <f t="shared" ca="1" si="8"/>
        <v>108.71928470494028</v>
      </c>
      <c r="BD45" s="63">
        <f ca="1">SUM($BC$15:BC45)</f>
        <v>2054.3502496875658</v>
      </c>
      <c r="BF45" s="52">
        <f ca="1">EXP(-AVERAGE(AV$15:AV45)*AS45)</f>
        <v>0.88515785261681035</v>
      </c>
      <c r="BH45" s="52">
        <f t="shared" ca="1" si="32"/>
        <v>31</v>
      </c>
      <c r="BI45" s="71">
        <f t="shared" ca="1" si="33"/>
        <v>46103</v>
      </c>
      <c r="BJ45" s="71">
        <f t="shared" ca="1" si="9"/>
        <v>46134</v>
      </c>
      <c r="BK45" s="72">
        <f t="shared" ca="1" si="10"/>
        <v>31</v>
      </c>
      <c r="BL45" s="73">
        <f ca="1">SUM(BK$15:BK45)/360</f>
        <v>2.6194444444444445</v>
      </c>
      <c r="BM45" s="74">
        <f t="shared" si="11"/>
        <v>25000000</v>
      </c>
      <c r="BN45" s="59">
        <f t="shared" si="34"/>
        <v>0.05</v>
      </c>
      <c r="BO45" s="57">
        <f>Volatilities_Resets!$E34*0.01</f>
        <v>3.8544999999999996E-2</v>
      </c>
      <c r="BP45" s="61">
        <f>IF(BN45=BQ$11,Volatilities_Resets!$AA34,IF(BN45&gt;=BP$11,IF(BN45&lt;BQ$11,(((Volatilities_Resets!$AA34-Volatilities_Resets!$Y34)/50)*((Calculator!BN45-Calculator!BP$11)*10000)+Volatilities_Resets!$Y34)),IF(BN45&gt;=BP$10,IF(BN45&lt;BQ$10,(((Volatilities_Resets!$Y34-Volatilities_Resets!$W34)/50)*((Calculator!BN45-Calculator!BP$10)*10000)+Volatilities_Resets!$W34)),IF(BN45&gt;=BP$9,IF(BN45&lt;BQ$9,(((Volatilities_Resets!$W34-Volatilities_Resets!$U34)/50)*((Calculator!BN45-Calculator!BP$9)*10000)+Volatilities_Resets!$U34)),IF(BN45&gt;=BP$8,IF(BN45&lt;BQ$8,(((Volatilities_Resets!$U34-Volatilities_Resets!$S34)/50)*((Calculator!BN45-Calculator!BP$8)*10000)+Volatilities_Resets!$S34)),IF(BN45&gt;=BP$7,IF(BN45&lt;BQ$7,(((Volatilities_Resets!$S34-Volatilities_Resets!$Q34)/50)*((Calculator!BN45-Calculator!BP$7)*10000)+Volatilities_Resets!$Q34)),IF(BN45&gt;=BP$6,IF(BN45&lt;BQ$6,(((Volatilities_Resets!$Q34-Volatilities_Resets!$O34)/50)*((Calculator!BN45-Calculator!BP$6)*10000)+Volatilities_Resets!$O34)),IF(BN45&gt;=BP$5,IF(BN45&lt;BQ$5,(((Volatilities_Resets!$O34-Volatilities_Resets!$M34)/50)*((Calculator!BN45-Calculator!BP$5)*10000)+Volatilities_Resets!$M34)),IF(BN45&gt;=BP$4,IF(BN45&lt;BQ$4,(((Volatilities_Resets!$M34-Volatilities_Resets!$K34)/50)*((Calculator!BN45-Calculator!BP$4)*10000)+Volatilities_Resets!$K34)),IF(BN45&gt;=BP$3,IF(BN45&lt;BQ$3,(((Volatilities_Resets!$K34-Volatilities_Resets!$I34)/50)*((Calculator!BN45-Calculator!BP$3)*10000)+Volatilities_Resets!$I34)),IF(BN45&gt;=BP$2,IF(BN45&lt;BQ$2,(((Volatilities_Resets!$I34-Volatilities_Resets!$G34)/50)*((Calculator!BN45-Calculator!BP$2)*10000)+Volatilities_Resets!$G34)),"Well, something broke...")))))))))))/10000</f>
        <v>1.4702000000000002E-2</v>
      </c>
      <c r="BQ45" s="63">
        <f t="shared" ca="1" si="35"/>
        <v>9231.3490801297121</v>
      </c>
      <c r="BR45" s="63">
        <f t="shared" ca="1" si="36"/>
        <v>3.7364037867000454E-4</v>
      </c>
      <c r="BS45" s="63">
        <f t="shared" ca="1" si="47"/>
        <v>285133.4330432727</v>
      </c>
      <c r="BV45" s="63">
        <f t="shared" ca="1" si="37"/>
        <v>97.066752338044296</v>
      </c>
      <c r="BW45" s="63">
        <f ca="1">SUM($BV$15:BV45)</f>
        <v>2222.9728917909615</v>
      </c>
      <c r="BY45" s="52">
        <f ca="1">EXP(-AVERAGE(BO$15:BO45)*BL45)</f>
        <v>0.88515785261681035</v>
      </c>
      <c r="CA45" s="52">
        <f t="shared" ca="1" si="38"/>
        <v>31</v>
      </c>
      <c r="CB45" s="71">
        <f t="shared" ca="1" si="39"/>
        <v>46103</v>
      </c>
      <c r="CC45" s="71">
        <f t="shared" ca="1" si="12"/>
        <v>46134</v>
      </c>
      <c r="CD45" s="72">
        <f t="shared" ca="1" si="13"/>
        <v>31</v>
      </c>
      <c r="CE45" s="73">
        <f ca="1">SUM(CD$15:CD45)/360</f>
        <v>2.6194444444444445</v>
      </c>
      <c r="CF45" s="74">
        <f t="shared" si="14"/>
        <v>25000000</v>
      </c>
      <c r="CG45" s="59">
        <f t="shared" si="40"/>
        <v>0.06</v>
      </c>
      <c r="CH45" s="57">
        <f>Volatilities_Resets!$E34*0.01</f>
        <v>3.8544999999999996E-2</v>
      </c>
      <c r="CI45" s="61">
        <f>IF(CG45=CJ$11,Volatilities_Resets!$AA34,IF(CG45&gt;=CI$11,IF(CG45&lt;CJ$11,(((Volatilities_Resets!$AA34-Volatilities_Resets!$Y34)/50)*((Calculator!CG45-Calculator!CI$11)*10000)+Volatilities_Resets!$Y34)),IF(CG45&gt;=CI$10,IF(CG45&lt;CJ$10,(((Volatilities_Resets!$Y34-Volatilities_Resets!$W34)/50)*((Calculator!CG45-Calculator!CI$10)*10000)+Volatilities_Resets!$W34)),IF(CG45&gt;=CI$9,IF(CG45&lt;CJ$9,(((Volatilities_Resets!$W34-Volatilities_Resets!$U34)/50)*((Calculator!CG45-Calculator!CI$9)*10000)+Volatilities_Resets!$U34)),IF(CG45&gt;=CI$8,IF(CG45&lt;CJ$8,(((Volatilities_Resets!$U34-Volatilities_Resets!$S34)/50)*((Calculator!CG45-Calculator!CI$8)*10000)+Volatilities_Resets!$S34)),IF(CG45&gt;=CI$7,IF(CG45&lt;CJ$7,(((Volatilities_Resets!$S34-Volatilities_Resets!$Q34)/50)*((Calculator!CG45-Calculator!CI$7)*10000)+Volatilities_Resets!$Q34)),IF(CG45&gt;=CI$6,IF(CG45&lt;CJ$6,(((Volatilities_Resets!$Q34-Volatilities_Resets!$O34)/50)*((Calculator!CG45-Calculator!CI$6)*10000)+Volatilities_Resets!$O34)),IF(CG45&gt;=CI$5,IF(CG45&lt;CJ$5,(((Volatilities_Resets!$O34-Volatilities_Resets!$M34)/50)*((Calculator!CG45-Calculator!CI$5)*10000)+Volatilities_Resets!$M34)),IF(CG45&gt;=CI$4,IF(CG45&lt;CJ$4,(((Volatilities_Resets!$M34-Volatilities_Resets!$K34)/50)*((Calculator!CG45-Calculator!CI$4)*10000)+Volatilities_Resets!$K34)),IF(CG45&gt;=CI$3,IF(CG45&lt;CJ$3,(((Volatilities_Resets!$K34-Volatilities_Resets!$I34)/50)*((Calculator!CG45-Calculator!CI$3)*10000)+Volatilities_Resets!$I34)),IF(CG45&gt;=CI$2,IF(CG45&lt;CJ$2,(((Volatilities_Resets!$I34-Volatilities_Resets!$G34)/50)*((Calculator!CG45-Calculator!CI$2)*10000)+Volatilities_Resets!$G34)),"Well, something broke...")))))))))))/10000</f>
        <v>1.5629000000000001E-2</v>
      </c>
      <c r="CJ45" s="63">
        <f t="shared" ca="1" si="41"/>
        <v>5318.0175712874689</v>
      </c>
      <c r="CK45" s="63">
        <f t="shared" ca="1" si="42"/>
        <v>2.161631480121929E-4</v>
      </c>
      <c r="CL45" s="63">
        <f t="shared" ca="1" si="48"/>
        <v>78653.514179573234</v>
      </c>
      <c r="CO45" s="63">
        <f t="shared" ca="1" si="43"/>
        <v>76.177684154779186</v>
      </c>
      <c r="CP45" s="63">
        <f ca="1">SUM($CO$15:CO45)</f>
        <v>1507.8845184655158</v>
      </c>
      <c r="CR45" s="52">
        <f ca="1">EXP(-AVERAGE(CH$15:CH45)*CE45)</f>
        <v>0.88515785261681035</v>
      </c>
      <c r="CT45"/>
      <c r="CU45"/>
      <c r="CV45"/>
      <c r="CW45"/>
      <c r="CX45"/>
      <c r="CY45"/>
      <c r="CZ45"/>
      <c r="DA45"/>
      <c r="DB45"/>
      <c r="DC45"/>
      <c r="DD45"/>
      <c r="DE45"/>
      <c r="DF45"/>
      <c r="DG45"/>
      <c r="DH45"/>
      <c r="DI45"/>
      <c r="DJ45"/>
      <c r="DK45"/>
      <c r="DL45"/>
    </row>
    <row r="46" spans="2:116" ht="15.75" customHeight="1" x14ac:dyDescent="0.2">
      <c r="B46" s="52">
        <v>3</v>
      </c>
      <c r="C46" s="52">
        <f t="shared" ca="1" si="15"/>
        <v>32</v>
      </c>
      <c r="D46" s="71">
        <f t="shared" ca="1" si="16"/>
        <v>46134</v>
      </c>
      <c r="E46" s="71">
        <f t="shared" ca="1" si="0"/>
        <v>46164</v>
      </c>
      <c r="F46" s="72">
        <f t="shared" ca="1" si="1"/>
        <v>30</v>
      </c>
      <c r="G46" s="73">
        <f ca="1">SUM($F$15:F46)/360</f>
        <v>2.7027777777777779</v>
      </c>
      <c r="H46" s="74">
        <f t="shared" si="2"/>
        <v>25000000</v>
      </c>
      <c r="I46" s="59">
        <f>IF('Cap Pricer'!$E$22=DataValidation!$C$2,'Cap Pricer'!$E$23,IF('Cap Pricer'!$E$22=DataValidation!$C$3,VLOOKUP($B46,'Cap Pricer'!$C$25:$E$31,3),""))</f>
        <v>0.02</v>
      </c>
      <c r="J46" s="57">
        <f>Volatilities_Resets!$E35*0.01</f>
        <v>3.8542900000000005E-2</v>
      </c>
      <c r="K46" s="61">
        <f>IF(I46=L$11,Volatilities_Resets!$AA35,IF(I46&gt;=K$11,IF(I46&lt;L$11,(((Volatilities_Resets!$AA35-Volatilities_Resets!$Y35)/50)*((Calculator!I46-Calculator!K$11)*10000)+Volatilities_Resets!$Y35)),IF(I46&gt;=K$10,IF(I46&lt;L$10,(((Volatilities_Resets!$Y35-Volatilities_Resets!$W35)/50)*((Calculator!I46-Calculator!K$10)*10000)+Volatilities_Resets!$W35)),IF(I46&gt;=K$9,IF(I46&lt;L$9,(((Volatilities_Resets!$W35-Volatilities_Resets!$U35)/50)*((Calculator!I46-Calculator!K$9)*10000)+Volatilities_Resets!$U35)),IF(I46&gt;=K$8,IF(I46&lt;L$8,(((Volatilities_Resets!$U35-Volatilities_Resets!$S35)/50)*((Calculator!I46-Calculator!K$8)*10000)+Volatilities_Resets!$S35)),IF(I46&gt;=K$7,IF(I46&lt;L$7,(((Volatilities_Resets!$S35-Volatilities_Resets!$Q35)/50)*((Calculator!I46-Calculator!K$7)*10000)+Volatilities_Resets!$Q35)),IF(I46&gt;=K$6,IF(I46&lt;L$6,(((Volatilities_Resets!$Q35-Volatilities_Resets!$O35)/50)*((Calculator!I46-Calculator!K$6)*10000)+Volatilities_Resets!$O35)),IF(I46&gt;=K$5,IF(I46&lt;L$5,(((Volatilities_Resets!$O35-Volatilities_Resets!$M35)/50)*((Calculator!I46-Calculator!K$5)*10000)+Volatilities_Resets!$M35)),IF(I46&gt;=K$4,IF(I46&lt;L$4,(((Volatilities_Resets!$M35-Volatilities_Resets!$K35)/50)*((Calculator!I46-Calculator!K$4)*10000)+Volatilities_Resets!$K35)),IF(I46&gt;=K$3,IF(I46&lt;L$3,(((Volatilities_Resets!$K35-Volatilities_Resets!$I35)/50)*((Calculator!I46-Calculator!K$3)*10000)+Volatilities_Resets!$I35)),IF(I46&gt;=K$2,IF(I46&lt;L$2,(((Volatilities_Resets!$I35-Volatilities_Resets!$G35)/50)*((Calculator!I46-Calculator!K$2)*10000)+Volatilities_Resets!$G35)),"Well, something broke...")))))))))))/10000</f>
        <v>1.7122999999999999E-2</v>
      </c>
      <c r="L46" s="47">
        <f t="shared" ca="1" si="17"/>
        <v>42009.517424458027</v>
      </c>
      <c r="M46" s="63">
        <f t="shared" ca="1" si="18"/>
        <v>1.6842674922872246E-3</v>
      </c>
      <c r="N46" s="63">
        <f t="shared" ca="1" si="44"/>
        <v>1797253.0842092524</v>
      </c>
      <c r="Q46" s="63">
        <f t="shared" ca="1" si="19"/>
        <v>85.735646164178164</v>
      </c>
      <c r="R46" s="63">
        <f ca="1">SUM($Q$15:Q46)</f>
        <v>1461.9029060883124</v>
      </c>
      <c r="T46" s="52">
        <f ca="1">EXP(-AVERAGE(J$15:J46)*G46)</f>
        <v>0.88232736072085305</v>
      </c>
      <c r="U46" s="57"/>
      <c r="V46" s="52">
        <f t="shared" ca="1" si="20"/>
        <v>32</v>
      </c>
      <c r="W46" s="71">
        <f t="shared" ca="1" si="21"/>
        <v>46134</v>
      </c>
      <c r="X46" s="71">
        <f t="shared" ca="1" si="3"/>
        <v>46164</v>
      </c>
      <c r="Y46" s="72">
        <f t="shared" ca="1" si="4"/>
        <v>30</v>
      </c>
      <c r="Z46" s="73">
        <f ca="1">SUM(Y$15:Y46)/360</f>
        <v>2.7027777777777779</v>
      </c>
      <c r="AA46" s="74">
        <f t="shared" si="22"/>
        <v>25000000</v>
      </c>
      <c r="AB46" s="59">
        <f t="shared" si="23"/>
        <v>0.03</v>
      </c>
      <c r="AC46" s="57">
        <f>Volatilities_Resets!$E35*0.01</f>
        <v>3.8542900000000005E-2</v>
      </c>
      <c r="AD46" s="61">
        <f>IF(AB46=AE$11,Volatilities_Resets!$AA35,IF(AB46&gt;=AD$11,IF(AB46&lt;AE$11,(((Volatilities_Resets!$AA35-Volatilities_Resets!$Y35)/50)*((Calculator!AB46-Calculator!AD$11)*10000)+Volatilities_Resets!$Y35)),IF(AB46&gt;=AD$10,IF(AB46&lt;AE$10,(((Volatilities_Resets!$Y35-Volatilities_Resets!$W35)/50)*((Calculator!AB46-Calculator!AD$10)*10000)+Volatilities_Resets!$W35)),IF(AB46&gt;=AD$9,IF(AB46&lt;AE$9,(((Volatilities_Resets!$W35-Volatilities_Resets!$U35)/50)*((Calculator!AB46-Calculator!AD$9)*10000)+Volatilities_Resets!$U35)),IF(AB46&gt;=AD$8,IF(AB46&lt;AE$8,(((Volatilities_Resets!$U35-Volatilities_Resets!$S35)/50)*((Calculator!AB46-Calculator!AD$8)*10000)+Volatilities_Resets!$S35)),IF(AB46&gt;=AD$7,IF(AB46&lt;AE$7,(((Volatilities_Resets!$S35-Volatilities_Resets!$Q35)/50)*((Calculator!AB46-Calculator!AD$7)*10000)+Volatilities_Resets!$Q35)),IF(AB46&gt;=AD$6,IF(AB46&lt;AE$6,(((Volatilities_Resets!$Q35-Volatilities_Resets!$O35)/50)*((Calculator!AB46-Calculator!AD$6)*10000)+Volatilities_Resets!$O35)),IF(AB46&gt;=AD$5,IF(AB46&lt;AE$5,(((Volatilities_Resets!$O35-Volatilities_Resets!$M35)/50)*((Calculator!AB46-Calculator!AD$5)*10000)+Volatilities_Resets!$M35)),IF(AB46&gt;=AD$4,IF(AB46&lt;AE$4,(((Volatilities_Resets!$M35-Volatilities_Resets!$K35)/50)*((Calculator!AB46-Calculator!AD$4)*10000)+Volatilities_Resets!$K35)),IF(AB46&gt;=AD$3,IF(AB46&lt;AE$3,(((Volatilities_Resets!$K35-Volatilities_Resets!$I35)/50)*((Calculator!AB46-Calculator!AD$3)*10000)+Volatilities_Resets!$I35)),IF(AB46&gt;=AD$2,IF(AB46&lt;AE$2,(((Volatilities_Resets!$I35-Volatilities_Resets!$G35)/50)*((Calculator!AB46-Calculator!AD$2)*10000)+Volatilities_Resets!$G35)),"Well, something broke...")))))))))))/10000</f>
        <v>1.6482E-2</v>
      </c>
      <c r="AE46" s="63">
        <f t="shared" ca="1" si="24"/>
        <v>28701.886738992984</v>
      </c>
      <c r="AF46" s="63">
        <f t="shared" ca="1" si="25"/>
        <v>1.1526654387063041E-3</v>
      </c>
      <c r="AG46" s="63">
        <f t="shared" ca="1" si="45"/>
        <v>1240745.6792907657</v>
      </c>
      <c r="AJ46" s="63">
        <f t="shared" ca="1" si="26"/>
        <v>101.24638407240681</v>
      </c>
      <c r="AK46" s="63">
        <f ca="1">SUM($AJ$15:AJ46)</f>
        <v>1848.0617695382396</v>
      </c>
      <c r="AM46" s="52">
        <f ca="1">EXP(-AVERAGE(AC$15:AC46)*Z46)</f>
        <v>0.88232736072085305</v>
      </c>
      <c r="AO46" s="52">
        <f t="shared" ca="1" si="27"/>
        <v>32</v>
      </c>
      <c r="AP46" s="71">
        <f t="shared" ca="1" si="28"/>
        <v>46134</v>
      </c>
      <c r="AQ46" s="71">
        <f t="shared" ca="1" si="5"/>
        <v>46164</v>
      </c>
      <c r="AR46" s="72">
        <f t="shared" ca="1" si="6"/>
        <v>30</v>
      </c>
      <c r="AS46" s="73">
        <f ca="1">SUM(AR$15:AR46)/360</f>
        <v>2.7027777777777779</v>
      </c>
      <c r="AT46" s="74">
        <f t="shared" si="7"/>
        <v>25000000</v>
      </c>
      <c r="AU46" s="59">
        <f t="shared" si="29"/>
        <v>0.04</v>
      </c>
      <c r="AV46" s="57">
        <f>Volatilities_Resets!$E35*0.01</f>
        <v>3.8542900000000005E-2</v>
      </c>
      <c r="AW46" s="61">
        <f>IF(AU46=AX$11,Volatilities_Resets!$AA35,IF(AU46&gt;=AW$11,IF(AU46&lt;AX$11,(((Volatilities_Resets!$AA35-Volatilities_Resets!$Y35)/50)*((Calculator!AU46-Calculator!AW$11)*10000)+Volatilities_Resets!$Y35)),IF(AU46&gt;=AW$10,IF(AU46&lt;AX$10,(((Volatilities_Resets!$Y35-Volatilities_Resets!$W35)/50)*((Calculator!AU46-Calculator!AW$10)*10000)+Volatilities_Resets!$W35)),IF(AU46&gt;=AW$9,IF(AU46&lt;AX$9,(((Volatilities_Resets!$W35-Volatilities_Resets!$U35)/50)*((Calculator!AU46-Calculator!AW$9)*10000)+Volatilities_Resets!$U35)),IF(AU46&gt;=AW$8,IF(AU46&lt;AX$8,(((Volatilities_Resets!$U35-Volatilities_Resets!$S35)/50)*((Calculator!AU46-Calculator!AW$8)*10000)+Volatilities_Resets!$S35)),IF(AU46&gt;=AW$7,IF(AU46&lt;AX$7,(((Volatilities_Resets!$S35-Volatilities_Resets!$Q35)/50)*((Calculator!AU46-Calculator!AW$7)*10000)+Volatilities_Resets!$Q35)),IF(AU46&gt;=AW$6,IF(AU46&lt;AX$6,(((Volatilities_Resets!$Q35-Volatilities_Resets!$O35)/50)*((Calculator!AU46-Calculator!AW$6)*10000)+Volatilities_Resets!$O35)),IF(AU46&gt;=AW$5,IF(AU46&lt;AX$5,(((Volatilities_Resets!$O35-Volatilities_Resets!$M35)/50)*((Calculator!AU46-Calculator!AW$5)*10000)+Volatilities_Resets!$M35)),IF(AU46&gt;=AW$4,IF(AU46&lt;AX$4,(((Volatilities_Resets!$M35-Volatilities_Resets!$K35)/50)*((Calculator!AU46-Calculator!AW$4)*10000)+Volatilities_Resets!$K35)),IF(AU46&gt;=AW$3,IF(AU46&lt;AX$3,(((Volatilities_Resets!$K35-Volatilities_Resets!$I35)/50)*((Calculator!AU46-Calculator!AW$3)*10000)+Volatilities_Resets!$I35)),IF(AU46&gt;=AW$2,IF(AU46&lt;AX$2,(((Volatilities_Resets!$I35-Volatilities_Resets!$G35)/50)*((Calculator!AU46-Calculator!AW$2)*10000)+Volatilities_Resets!$G35)),"Well, something broke...")))))))))))/10000</f>
        <v>1.5259999999999999E-2</v>
      </c>
      <c r="AX46" s="63">
        <f t="shared" ca="1" si="30"/>
        <v>17089.291619575546</v>
      </c>
      <c r="AY46" s="63">
        <f t="shared" ca="1" si="31"/>
        <v>6.8838599632740276E-4</v>
      </c>
      <c r="AZ46" s="63">
        <f t="shared" ca="1" si="46"/>
        <v>718652.72951430804</v>
      </c>
      <c r="BC46" s="63">
        <f t="shared" ca="1" si="8"/>
        <v>106.19541112971952</v>
      </c>
      <c r="BD46" s="63">
        <f ca="1">SUM($BC$15:BC46)</f>
        <v>2160.5456608172854</v>
      </c>
      <c r="BF46" s="52">
        <f ca="1">EXP(-AVERAGE(AV$15:AV46)*AS46)</f>
        <v>0.88232736072085305</v>
      </c>
      <c r="BH46" s="52">
        <f t="shared" ca="1" si="32"/>
        <v>32</v>
      </c>
      <c r="BI46" s="71">
        <f t="shared" ca="1" si="33"/>
        <v>46134</v>
      </c>
      <c r="BJ46" s="71">
        <f t="shared" ca="1" si="9"/>
        <v>46164</v>
      </c>
      <c r="BK46" s="72">
        <f t="shared" ca="1" si="10"/>
        <v>30</v>
      </c>
      <c r="BL46" s="73">
        <f ca="1">SUM(BK$15:BK46)/360</f>
        <v>2.7027777777777779</v>
      </c>
      <c r="BM46" s="74">
        <f t="shared" si="11"/>
        <v>25000000</v>
      </c>
      <c r="BN46" s="59">
        <f t="shared" si="34"/>
        <v>0.05</v>
      </c>
      <c r="BO46" s="57">
        <f>Volatilities_Resets!$E35*0.01</f>
        <v>3.8542900000000005E-2</v>
      </c>
      <c r="BP46" s="61">
        <f>IF(BN46=BQ$11,Volatilities_Resets!$AA35,IF(BN46&gt;=BP$11,IF(BN46&lt;BQ$11,(((Volatilities_Resets!$AA35-Volatilities_Resets!$Y35)/50)*((Calculator!BN46-Calculator!BP$11)*10000)+Volatilities_Resets!$Y35)),IF(BN46&gt;=BP$10,IF(BN46&lt;BQ$10,(((Volatilities_Resets!$Y35-Volatilities_Resets!$W35)/50)*((Calculator!BN46-Calculator!BP$10)*10000)+Volatilities_Resets!$W35)),IF(BN46&gt;=BP$9,IF(BN46&lt;BQ$9,(((Volatilities_Resets!$W35-Volatilities_Resets!$U35)/50)*((Calculator!BN46-Calculator!BP$9)*10000)+Volatilities_Resets!$U35)),IF(BN46&gt;=BP$8,IF(BN46&lt;BQ$8,(((Volatilities_Resets!$U35-Volatilities_Resets!$S35)/50)*((Calculator!BN46-Calculator!BP$8)*10000)+Volatilities_Resets!$S35)),IF(BN46&gt;=BP$7,IF(BN46&lt;BQ$7,(((Volatilities_Resets!$S35-Volatilities_Resets!$Q35)/50)*((Calculator!BN46-Calculator!BP$7)*10000)+Volatilities_Resets!$Q35)),IF(BN46&gt;=BP$6,IF(BN46&lt;BQ$6,(((Volatilities_Resets!$Q35-Volatilities_Resets!$O35)/50)*((Calculator!BN46-Calculator!BP$6)*10000)+Volatilities_Resets!$O35)),IF(BN46&gt;=BP$5,IF(BN46&lt;BQ$5,(((Volatilities_Resets!$O35-Volatilities_Resets!$M35)/50)*((Calculator!BN46-Calculator!BP$5)*10000)+Volatilities_Resets!$M35)),IF(BN46&gt;=BP$4,IF(BN46&lt;BQ$4,(((Volatilities_Resets!$M35-Volatilities_Resets!$K35)/50)*((Calculator!BN46-Calculator!BP$4)*10000)+Volatilities_Resets!$K35)),IF(BN46&gt;=BP$3,IF(BN46&lt;BQ$3,(((Volatilities_Resets!$K35-Volatilities_Resets!$I35)/50)*((Calculator!BN46-Calculator!BP$3)*10000)+Volatilities_Resets!$I35)),IF(BN46&gt;=BP$2,IF(BN46&lt;BQ$2,(((Volatilities_Resets!$I35-Volatilities_Resets!$G35)/50)*((Calculator!BN46-Calculator!BP$2)*10000)+Volatilities_Resets!$G35)),"Well, something broke...")))))))))))/10000</f>
        <v>1.4702000000000002E-2</v>
      </c>
      <c r="BQ46" s="63">
        <f t="shared" ca="1" si="35"/>
        <v>9149.4686172888523</v>
      </c>
      <c r="BR46" s="63">
        <f t="shared" ca="1" si="36"/>
        <v>3.7029197163811228E-4</v>
      </c>
      <c r="BS46" s="63">
        <f t="shared" ca="1" si="47"/>
        <v>294282.90166056156</v>
      </c>
      <c r="BV46" s="63">
        <f t="shared" ca="1" si="37"/>
        <v>95.141953698669226</v>
      </c>
      <c r="BW46" s="63">
        <f ca="1">SUM($BV$15:BV46)</f>
        <v>2318.1148454896306</v>
      </c>
      <c r="BY46" s="52">
        <f ca="1">EXP(-AVERAGE(BO$15:BO46)*BL46)</f>
        <v>0.88232736072085305</v>
      </c>
      <c r="CA46" s="52">
        <f t="shared" ca="1" si="38"/>
        <v>32</v>
      </c>
      <c r="CB46" s="71">
        <f t="shared" ca="1" si="39"/>
        <v>46134</v>
      </c>
      <c r="CC46" s="71">
        <f t="shared" ca="1" si="12"/>
        <v>46164</v>
      </c>
      <c r="CD46" s="72">
        <f t="shared" ca="1" si="13"/>
        <v>30</v>
      </c>
      <c r="CE46" s="73">
        <f ca="1">SUM(CD$15:CD46)/360</f>
        <v>2.7027777777777779</v>
      </c>
      <c r="CF46" s="74">
        <f t="shared" si="14"/>
        <v>25000000</v>
      </c>
      <c r="CG46" s="59">
        <f t="shared" si="40"/>
        <v>0.06</v>
      </c>
      <c r="CH46" s="57">
        <f>Volatilities_Resets!$E35*0.01</f>
        <v>3.8542900000000005E-2</v>
      </c>
      <c r="CI46" s="61">
        <f>IF(CG46=CJ$11,Volatilities_Resets!$AA35,IF(CG46&gt;=CI$11,IF(CG46&lt;CJ$11,(((Volatilities_Resets!$AA35-Volatilities_Resets!$Y35)/50)*((Calculator!CG46-Calculator!CI$11)*10000)+Volatilities_Resets!$Y35)),IF(CG46&gt;=CI$10,IF(CG46&lt;CJ$10,(((Volatilities_Resets!$Y35-Volatilities_Resets!$W35)/50)*((Calculator!CG46-Calculator!CI$10)*10000)+Volatilities_Resets!$W35)),IF(CG46&gt;=CI$9,IF(CG46&lt;CJ$9,(((Volatilities_Resets!$W35-Volatilities_Resets!$U35)/50)*((Calculator!CG46-Calculator!CI$9)*10000)+Volatilities_Resets!$U35)),IF(CG46&gt;=CI$8,IF(CG46&lt;CJ$8,(((Volatilities_Resets!$U35-Volatilities_Resets!$S35)/50)*((Calculator!CG46-Calculator!CI$8)*10000)+Volatilities_Resets!$S35)),IF(CG46&gt;=CI$7,IF(CG46&lt;CJ$7,(((Volatilities_Resets!$S35-Volatilities_Resets!$Q35)/50)*((Calculator!CG46-Calculator!CI$7)*10000)+Volatilities_Resets!$Q35)),IF(CG46&gt;=CI$6,IF(CG46&lt;CJ$6,(((Volatilities_Resets!$Q35-Volatilities_Resets!$O35)/50)*((Calculator!CG46-Calculator!CI$6)*10000)+Volatilities_Resets!$O35)),IF(CG46&gt;=CI$5,IF(CG46&lt;CJ$5,(((Volatilities_Resets!$O35-Volatilities_Resets!$M35)/50)*((Calculator!CG46-Calculator!CI$5)*10000)+Volatilities_Resets!$M35)),IF(CG46&gt;=CI$4,IF(CG46&lt;CJ$4,(((Volatilities_Resets!$M35-Volatilities_Resets!$K35)/50)*((Calculator!CG46-Calculator!CI$4)*10000)+Volatilities_Resets!$K35)),IF(CG46&gt;=CI$3,IF(CG46&lt;CJ$3,(((Volatilities_Resets!$K35-Volatilities_Resets!$I35)/50)*((Calculator!CG46-Calculator!CI$3)*10000)+Volatilities_Resets!$I35)),IF(CG46&gt;=CI$2,IF(CG46&lt;CJ$2,(((Volatilities_Resets!$I35-Volatilities_Resets!$G35)/50)*((Calculator!CG46-Calculator!CI$2)*10000)+Volatilities_Resets!$G35)),"Well, something broke...")))))))))))/10000</f>
        <v>1.5630000000000002E-2</v>
      </c>
      <c r="CJ46" s="63">
        <f t="shared" ca="1" si="41"/>
        <v>5335.5343450091468</v>
      </c>
      <c r="CK46" s="63">
        <f t="shared" ca="1" si="42"/>
        <v>2.1683182598268211E-4</v>
      </c>
      <c r="CL46" s="63">
        <f t="shared" ca="1" si="48"/>
        <v>83989.04852458238</v>
      </c>
      <c r="CO46" s="63">
        <f t="shared" ca="1" si="43"/>
        <v>75.228381822194152</v>
      </c>
      <c r="CP46" s="63">
        <f ca="1">SUM($CO$15:CO46)</f>
        <v>1583.1129002877101</v>
      </c>
      <c r="CR46" s="52">
        <f ca="1">EXP(-AVERAGE(CH$15:CH46)*CE46)</f>
        <v>0.88232736072085305</v>
      </c>
      <c r="CT46"/>
      <c r="CU46"/>
      <c r="CV46"/>
      <c r="CW46"/>
      <c r="CX46"/>
      <c r="CY46"/>
      <c r="CZ46"/>
      <c r="DA46"/>
      <c r="DB46"/>
      <c r="DC46"/>
      <c r="DD46"/>
      <c r="DE46"/>
      <c r="DF46"/>
      <c r="DG46"/>
      <c r="DH46"/>
      <c r="DI46"/>
      <c r="DJ46"/>
      <c r="DK46"/>
      <c r="DL46"/>
    </row>
    <row r="47" spans="2:116" ht="15.75" customHeight="1" x14ac:dyDescent="0.2">
      <c r="B47" s="52">
        <v>3</v>
      </c>
      <c r="C47" s="52">
        <f t="shared" ca="1" si="15"/>
        <v>33</v>
      </c>
      <c r="D47" s="71">
        <f t="shared" ca="1" si="16"/>
        <v>46164</v>
      </c>
      <c r="E47" s="71">
        <f t="shared" ca="1" si="0"/>
        <v>46195</v>
      </c>
      <c r="F47" s="72">
        <f t="shared" ca="1" si="1"/>
        <v>31</v>
      </c>
      <c r="G47" s="73">
        <f ca="1">SUM($F$15:F47)/360</f>
        <v>2.7888888888888888</v>
      </c>
      <c r="H47" s="74">
        <f t="shared" si="2"/>
        <v>25000000</v>
      </c>
      <c r="I47" s="59">
        <f>IF('Cap Pricer'!$E$22=DataValidation!$C$2,'Cap Pricer'!$E$23,IF('Cap Pricer'!$E$22=DataValidation!$C$3,VLOOKUP($B47,'Cap Pricer'!$C$25:$E$31,3),""))</f>
        <v>0.02</v>
      </c>
      <c r="J47" s="57">
        <f>Volatilities_Resets!$E36*0.01</f>
        <v>3.8544999999999996E-2</v>
      </c>
      <c r="K47" s="61">
        <f>IF(I47=L$11,Volatilities_Resets!$AA36,IF(I47&gt;=K$11,IF(I47&lt;L$11,(((Volatilities_Resets!$AA36-Volatilities_Resets!$Y36)/50)*((Calculator!I47-Calculator!K$11)*10000)+Volatilities_Resets!$Y36)),IF(I47&gt;=K$10,IF(I47&lt;L$10,(((Volatilities_Resets!$Y36-Volatilities_Resets!$W36)/50)*((Calculator!I47-Calculator!K$10)*10000)+Volatilities_Resets!$W36)),IF(I47&gt;=K$9,IF(I47&lt;L$9,(((Volatilities_Resets!$W36-Volatilities_Resets!$U36)/50)*((Calculator!I47-Calculator!K$9)*10000)+Volatilities_Resets!$U36)),IF(I47&gt;=K$8,IF(I47&lt;L$8,(((Volatilities_Resets!$U36-Volatilities_Resets!$S36)/50)*((Calculator!I47-Calculator!K$8)*10000)+Volatilities_Resets!$S36)),IF(I47&gt;=K$7,IF(I47&lt;L$7,(((Volatilities_Resets!$S36-Volatilities_Resets!$Q36)/50)*((Calculator!I47-Calculator!K$7)*10000)+Volatilities_Resets!$Q36)),IF(I47&gt;=K$6,IF(I47&lt;L$6,(((Volatilities_Resets!$Q36-Volatilities_Resets!$O36)/50)*((Calculator!I47-Calculator!K$6)*10000)+Volatilities_Resets!$O36)),IF(I47&gt;=K$5,IF(I47&lt;L$5,(((Volatilities_Resets!$O36-Volatilities_Resets!$M36)/50)*((Calculator!I47-Calculator!K$5)*10000)+Volatilities_Resets!$M36)),IF(I47&gt;=K$4,IF(I47&lt;L$4,(((Volatilities_Resets!$M36-Volatilities_Resets!$K36)/50)*((Calculator!I47-Calculator!K$4)*10000)+Volatilities_Resets!$K36)),IF(I47&gt;=K$3,IF(I47&lt;L$3,(((Volatilities_Resets!$K36-Volatilities_Resets!$I36)/50)*((Calculator!I47-Calculator!K$3)*10000)+Volatilities_Resets!$I36)),IF(I47&gt;=K$2,IF(I47&lt;L$2,(((Volatilities_Resets!$I36-Volatilities_Resets!$G36)/50)*((Calculator!I47-Calculator!K$2)*10000)+Volatilities_Resets!$G36)),"Well, something broke...")))))))))))/10000</f>
        <v>1.7122999999999999E-2</v>
      </c>
      <c r="L47" s="47">
        <f t="shared" ca="1" si="17"/>
        <v>43539.809705195199</v>
      </c>
      <c r="M47" s="63">
        <f t="shared" ca="1" si="18"/>
        <v>1.7456856295696504E-3</v>
      </c>
      <c r="N47" s="63">
        <f t="shared" ca="1" si="44"/>
        <v>1840792.8939144476</v>
      </c>
      <c r="Q47" s="63">
        <f t="shared" ca="1" si="19"/>
        <v>89.989164467516929</v>
      </c>
      <c r="R47" s="63">
        <f ca="1">SUM($Q$15:Q47)</f>
        <v>1551.8920705558294</v>
      </c>
      <c r="T47" s="52">
        <f ca="1">EXP(-AVERAGE(J$15:J47)*G47)</f>
        <v>0.87939270140682269</v>
      </c>
      <c r="U47" s="57"/>
      <c r="V47" s="52">
        <f t="shared" ca="1" si="20"/>
        <v>33</v>
      </c>
      <c r="W47" s="71">
        <f t="shared" ca="1" si="21"/>
        <v>46164</v>
      </c>
      <c r="X47" s="71">
        <f t="shared" ca="1" si="3"/>
        <v>46195</v>
      </c>
      <c r="Y47" s="72">
        <f t="shared" ca="1" si="4"/>
        <v>31</v>
      </c>
      <c r="Z47" s="73">
        <f ca="1">SUM(Y$15:Y47)/360</f>
        <v>2.7888888888888888</v>
      </c>
      <c r="AA47" s="74">
        <f t="shared" si="22"/>
        <v>25000000</v>
      </c>
      <c r="AB47" s="59">
        <f t="shared" si="23"/>
        <v>0.03</v>
      </c>
      <c r="AC47" s="57">
        <f>Volatilities_Resets!$E36*0.01</f>
        <v>3.8544999999999996E-2</v>
      </c>
      <c r="AD47" s="61">
        <f>IF(AB47=AE$11,Volatilities_Resets!$AA36,IF(AB47&gt;=AD$11,IF(AB47&lt;AE$11,(((Volatilities_Resets!$AA36-Volatilities_Resets!$Y36)/50)*((Calculator!AB47-Calculator!AD$11)*10000)+Volatilities_Resets!$Y36)),IF(AB47&gt;=AD$10,IF(AB47&lt;AE$10,(((Volatilities_Resets!$Y36-Volatilities_Resets!$W36)/50)*((Calculator!AB47-Calculator!AD$10)*10000)+Volatilities_Resets!$W36)),IF(AB47&gt;=AD$9,IF(AB47&lt;AE$9,(((Volatilities_Resets!$W36-Volatilities_Resets!$U36)/50)*((Calculator!AB47-Calculator!AD$9)*10000)+Volatilities_Resets!$U36)),IF(AB47&gt;=AD$8,IF(AB47&lt;AE$8,(((Volatilities_Resets!$U36-Volatilities_Resets!$S36)/50)*((Calculator!AB47-Calculator!AD$8)*10000)+Volatilities_Resets!$S36)),IF(AB47&gt;=AD$7,IF(AB47&lt;AE$7,(((Volatilities_Resets!$S36-Volatilities_Resets!$Q36)/50)*((Calculator!AB47-Calculator!AD$7)*10000)+Volatilities_Resets!$Q36)),IF(AB47&gt;=AD$6,IF(AB47&lt;AE$6,(((Volatilities_Resets!$Q36-Volatilities_Resets!$O36)/50)*((Calculator!AB47-Calculator!AD$6)*10000)+Volatilities_Resets!$O36)),IF(AB47&gt;=AD$5,IF(AB47&lt;AE$5,(((Volatilities_Resets!$O36-Volatilities_Resets!$M36)/50)*((Calculator!AB47-Calculator!AD$5)*10000)+Volatilities_Resets!$M36)),IF(AB47&gt;=AD$4,IF(AB47&lt;AE$4,(((Volatilities_Resets!$M36-Volatilities_Resets!$K36)/50)*((Calculator!AB47-Calculator!AD$4)*10000)+Volatilities_Resets!$K36)),IF(AB47&gt;=AD$3,IF(AB47&lt;AE$3,(((Volatilities_Resets!$K36-Volatilities_Resets!$I36)/50)*((Calculator!AB47-Calculator!AD$3)*10000)+Volatilities_Resets!$I36)),IF(AB47&gt;=AD$2,IF(AB47&lt;AE$2,(((Volatilities_Resets!$I36-Volatilities_Resets!$G36)/50)*((Calculator!AB47-Calculator!AD$2)*10000)+Volatilities_Resets!$G36)),"Well, something broke...")))))))))))/10000</f>
        <v>1.6482E-2</v>
      </c>
      <c r="AE47" s="63">
        <f t="shared" ca="1" si="24"/>
        <v>29870.448798566402</v>
      </c>
      <c r="AF47" s="63">
        <f t="shared" ca="1" si="25"/>
        <v>1.1996270756828116E-3</v>
      </c>
      <c r="AG47" s="63">
        <f t="shared" ca="1" si="45"/>
        <v>1270616.128089332</v>
      </c>
      <c r="AJ47" s="63">
        <f t="shared" ca="1" si="26"/>
        <v>105.72770793137406</v>
      </c>
      <c r="AK47" s="63">
        <f ca="1">SUM($AJ$15:AJ47)</f>
        <v>1953.7894774696135</v>
      </c>
      <c r="AM47" s="52">
        <f ca="1">EXP(-AVERAGE(AC$15:AC47)*Z47)</f>
        <v>0.87939270140682269</v>
      </c>
      <c r="AO47" s="52">
        <f t="shared" ca="1" si="27"/>
        <v>33</v>
      </c>
      <c r="AP47" s="71">
        <f t="shared" ca="1" si="28"/>
        <v>46164</v>
      </c>
      <c r="AQ47" s="71">
        <f t="shared" ca="1" si="5"/>
        <v>46195</v>
      </c>
      <c r="AR47" s="72">
        <f t="shared" ca="1" si="6"/>
        <v>31</v>
      </c>
      <c r="AS47" s="73">
        <f ca="1">SUM(AR$15:AR47)/360</f>
        <v>2.7888888888888888</v>
      </c>
      <c r="AT47" s="74">
        <f t="shared" si="7"/>
        <v>25000000</v>
      </c>
      <c r="AU47" s="59">
        <f t="shared" si="29"/>
        <v>0.04</v>
      </c>
      <c r="AV47" s="57">
        <f>Volatilities_Resets!$E36*0.01</f>
        <v>3.8544999999999996E-2</v>
      </c>
      <c r="AW47" s="61">
        <f>IF(AU47=AX$11,Volatilities_Resets!$AA36,IF(AU47&gt;=AW$11,IF(AU47&lt;AX$11,(((Volatilities_Resets!$AA36-Volatilities_Resets!$Y36)/50)*((Calculator!AU47-Calculator!AW$11)*10000)+Volatilities_Resets!$Y36)),IF(AU47&gt;=AW$10,IF(AU47&lt;AX$10,(((Volatilities_Resets!$Y36-Volatilities_Resets!$W36)/50)*((Calculator!AU47-Calculator!AW$10)*10000)+Volatilities_Resets!$W36)),IF(AU47&gt;=AW$9,IF(AU47&lt;AX$9,(((Volatilities_Resets!$W36-Volatilities_Resets!$U36)/50)*((Calculator!AU47-Calculator!AW$9)*10000)+Volatilities_Resets!$U36)),IF(AU47&gt;=AW$8,IF(AU47&lt;AX$8,(((Volatilities_Resets!$U36-Volatilities_Resets!$S36)/50)*((Calculator!AU47-Calculator!AW$8)*10000)+Volatilities_Resets!$S36)),IF(AU47&gt;=AW$7,IF(AU47&lt;AX$7,(((Volatilities_Resets!$S36-Volatilities_Resets!$Q36)/50)*((Calculator!AU47-Calculator!AW$7)*10000)+Volatilities_Resets!$Q36)),IF(AU47&gt;=AW$6,IF(AU47&lt;AX$6,(((Volatilities_Resets!$Q36-Volatilities_Resets!$O36)/50)*((Calculator!AU47-Calculator!AW$6)*10000)+Volatilities_Resets!$O36)),IF(AU47&gt;=AW$5,IF(AU47&lt;AX$5,(((Volatilities_Resets!$O36-Volatilities_Resets!$M36)/50)*((Calculator!AU47-Calculator!AW$5)*10000)+Volatilities_Resets!$M36)),IF(AU47&gt;=AW$4,IF(AU47&lt;AX$4,(((Volatilities_Resets!$M36-Volatilities_Resets!$K36)/50)*((Calculator!AU47-Calculator!AW$4)*10000)+Volatilities_Resets!$K36)),IF(AU47&gt;=AW$3,IF(AU47&lt;AX$3,(((Volatilities_Resets!$K36-Volatilities_Resets!$I36)/50)*((Calculator!AU47-Calculator!AW$3)*10000)+Volatilities_Resets!$I36)),IF(AU47&gt;=AW$2,IF(AU47&lt;AX$2,(((Volatilities_Resets!$I36-Volatilities_Resets!$G36)/50)*((Calculator!AU47-Calculator!AW$2)*10000)+Volatilities_Resets!$G36)),"Well, something broke...")))))))))))/10000</f>
        <v>1.5259999999999999E-2</v>
      </c>
      <c r="AX47" s="63">
        <f t="shared" ca="1" si="30"/>
        <v>17901.069846832954</v>
      </c>
      <c r="AY47" s="63">
        <f t="shared" ca="1" si="31"/>
        <v>7.2107970725068587E-4</v>
      </c>
      <c r="AZ47" s="63">
        <f t="shared" ca="1" si="46"/>
        <v>736553.79936114105</v>
      </c>
      <c r="BC47" s="63">
        <f t="shared" ca="1" si="8"/>
        <v>110.73562154188863</v>
      </c>
      <c r="BD47" s="63">
        <f ca="1">SUM($BC$15:BC47)</f>
        <v>2271.2812823591739</v>
      </c>
      <c r="BF47" s="52">
        <f ca="1">EXP(-AVERAGE(AV$15:AV47)*AS47)</f>
        <v>0.87939270140682269</v>
      </c>
      <c r="BH47" s="52">
        <f t="shared" ca="1" si="32"/>
        <v>33</v>
      </c>
      <c r="BI47" s="71">
        <f t="shared" ca="1" si="33"/>
        <v>46164</v>
      </c>
      <c r="BJ47" s="71">
        <f t="shared" ca="1" si="9"/>
        <v>46195</v>
      </c>
      <c r="BK47" s="72">
        <f t="shared" ca="1" si="10"/>
        <v>31</v>
      </c>
      <c r="BL47" s="73">
        <f ca="1">SUM(BK$15:BK47)/360</f>
        <v>2.7888888888888888</v>
      </c>
      <c r="BM47" s="74">
        <f t="shared" si="11"/>
        <v>25000000</v>
      </c>
      <c r="BN47" s="59">
        <f t="shared" si="34"/>
        <v>0.05</v>
      </c>
      <c r="BO47" s="57">
        <f>Volatilities_Resets!$E36*0.01</f>
        <v>3.8544999999999996E-2</v>
      </c>
      <c r="BP47" s="61">
        <f>IF(BN47=BQ$11,Volatilities_Resets!$AA36,IF(BN47&gt;=BP$11,IF(BN47&lt;BQ$11,(((Volatilities_Resets!$AA36-Volatilities_Resets!$Y36)/50)*((Calculator!BN47-Calculator!BP$11)*10000)+Volatilities_Resets!$Y36)),IF(BN47&gt;=BP$10,IF(BN47&lt;BQ$10,(((Volatilities_Resets!$Y36-Volatilities_Resets!$W36)/50)*((Calculator!BN47-Calculator!BP$10)*10000)+Volatilities_Resets!$W36)),IF(BN47&gt;=BP$9,IF(BN47&lt;BQ$9,(((Volatilities_Resets!$W36-Volatilities_Resets!$U36)/50)*((Calculator!BN47-Calculator!BP$9)*10000)+Volatilities_Resets!$U36)),IF(BN47&gt;=BP$8,IF(BN47&lt;BQ$8,(((Volatilities_Resets!$U36-Volatilities_Resets!$S36)/50)*((Calculator!BN47-Calculator!BP$8)*10000)+Volatilities_Resets!$S36)),IF(BN47&gt;=BP$7,IF(BN47&lt;BQ$7,(((Volatilities_Resets!$S36-Volatilities_Resets!$Q36)/50)*((Calculator!BN47-Calculator!BP$7)*10000)+Volatilities_Resets!$Q36)),IF(BN47&gt;=BP$6,IF(BN47&lt;BQ$6,(((Volatilities_Resets!$Q36-Volatilities_Resets!$O36)/50)*((Calculator!BN47-Calculator!BP$6)*10000)+Volatilities_Resets!$O36)),IF(BN47&gt;=BP$5,IF(BN47&lt;BQ$5,(((Volatilities_Resets!$O36-Volatilities_Resets!$M36)/50)*((Calculator!BN47-Calculator!BP$5)*10000)+Volatilities_Resets!$M36)),IF(BN47&gt;=BP$4,IF(BN47&lt;BQ$4,(((Volatilities_Resets!$M36-Volatilities_Resets!$K36)/50)*((Calculator!BN47-Calculator!BP$4)*10000)+Volatilities_Resets!$K36)),IF(BN47&gt;=BP$3,IF(BN47&lt;BQ$3,(((Volatilities_Resets!$K36-Volatilities_Resets!$I36)/50)*((Calculator!BN47-Calculator!BP$3)*10000)+Volatilities_Resets!$I36)),IF(BN47&gt;=BP$2,IF(BN47&lt;BQ$2,(((Volatilities_Resets!$I36-Volatilities_Resets!$G36)/50)*((Calculator!BN47-Calculator!BP$2)*10000)+Volatilities_Resets!$G36)),"Well, something broke...")))))))))))/10000</f>
        <v>1.4702000000000002E-2</v>
      </c>
      <c r="BQ47" s="63">
        <f t="shared" ca="1" si="35"/>
        <v>9682.5893738663617</v>
      </c>
      <c r="BR47" s="63">
        <f t="shared" ca="1" si="36"/>
        <v>3.9183171476921293E-4</v>
      </c>
      <c r="BS47" s="63">
        <f t="shared" ca="1" si="47"/>
        <v>303965.49103442795</v>
      </c>
      <c r="BV47" s="63">
        <f t="shared" ca="1" si="37"/>
        <v>99.550327596809382</v>
      </c>
      <c r="BW47" s="63">
        <f ca="1">SUM($BV$15:BV47)</f>
        <v>2417.6651730864401</v>
      </c>
      <c r="BY47" s="52">
        <f ca="1">EXP(-AVERAGE(BO$15:BO47)*BL47)</f>
        <v>0.87939270140682269</v>
      </c>
      <c r="CA47" s="52">
        <f t="shared" ca="1" si="38"/>
        <v>33</v>
      </c>
      <c r="CB47" s="71">
        <f t="shared" ca="1" si="39"/>
        <v>46164</v>
      </c>
      <c r="CC47" s="71">
        <f t="shared" ca="1" si="12"/>
        <v>46195</v>
      </c>
      <c r="CD47" s="72">
        <f t="shared" ca="1" si="13"/>
        <v>31</v>
      </c>
      <c r="CE47" s="73">
        <f ca="1">SUM(CD$15:CD47)/360</f>
        <v>2.7888888888888888</v>
      </c>
      <c r="CF47" s="74">
        <f t="shared" si="14"/>
        <v>25000000</v>
      </c>
      <c r="CG47" s="59">
        <f t="shared" si="40"/>
        <v>0.06</v>
      </c>
      <c r="CH47" s="57">
        <f>Volatilities_Resets!$E36*0.01</f>
        <v>3.8544999999999996E-2</v>
      </c>
      <c r="CI47" s="61">
        <f>IF(CG47=CJ$11,Volatilities_Resets!$AA36,IF(CG47&gt;=CI$11,IF(CG47&lt;CJ$11,(((Volatilities_Resets!$AA36-Volatilities_Resets!$Y36)/50)*((Calculator!CG47-Calculator!CI$11)*10000)+Volatilities_Resets!$Y36)),IF(CG47&gt;=CI$10,IF(CG47&lt;CJ$10,(((Volatilities_Resets!$Y36-Volatilities_Resets!$W36)/50)*((Calculator!CG47-Calculator!CI$10)*10000)+Volatilities_Resets!$W36)),IF(CG47&gt;=CI$9,IF(CG47&lt;CJ$9,(((Volatilities_Resets!$W36-Volatilities_Resets!$U36)/50)*((Calculator!CG47-Calculator!CI$9)*10000)+Volatilities_Resets!$U36)),IF(CG47&gt;=CI$8,IF(CG47&lt;CJ$8,(((Volatilities_Resets!$U36-Volatilities_Resets!$S36)/50)*((Calculator!CG47-Calculator!CI$8)*10000)+Volatilities_Resets!$S36)),IF(CG47&gt;=CI$7,IF(CG47&lt;CJ$7,(((Volatilities_Resets!$S36-Volatilities_Resets!$Q36)/50)*((Calculator!CG47-Calculator!CI$7)*10000)+Volatilities_Resets!$Q36)),IF(CG47&gt;=CI$6,IF(CG47&lt;CJ$6,(((Volatilities_Resets!$Q36-Volatilities_Resets!$O36)/50)*((Calculator!CG47-Calculator!CI$6)*10000)+Volatilities_Resets!$O36)),IF(CG47&gt;=CI$5,IF(CG47&lt;CJ$5,(((Volatilities_Resets!$O36-Volatilities_Resets!$M36)/50)*((Calculator!CG47-Calculator!CI$5)*10000)+Volatilities_Resets!$M36)),IF(CG47&gt;=CI$4,IF(CG47&lt;CJ$4,(((Volatilities_Resets!$M36-Volatilities_Resets!$K36)/50)*((Calculator!CG47-Calculator!CI$4)*10000)+Volatilities_Resets!$K36)),IF(CG47&gt;=CI$3,IF(CG47&lt;CJ$3,(((Volatilities_Resets!$K36-Volatilities_Resets!$I36)/50)*((Calculator!CG47-Calculator!CI$3)*10000)+Volatilities_Resets!$I36)),IF(CG47&gt;=CI$2,IF(CG47&lt;CJ$2,(((Volatilities_Resets!$I36-Volatilities_Resets!$G36)/50)*((Calculator!CG47-Calculator!CI$2)*10000)+Volatilities_Resets!$G36)),"Well, something broke...")))))))))))/10000</f>
        <v>1.5629000000000001E-2</v>
      </c>
      <c r="CJ47" s="63">
        <f t="shared" ca="1" si="41"/>
        <v>5712.5857044942541</v>
      </c>
      <c r="CK47" s="63">
        <f t="shared" ca="1" si="42"/>
        <v>2.3210980668083965E-4</v>
      </c>
      <c r="CL47" s="63">
        <f t="shared" ca="1" si="48"/>
        <v>89701.634229076633</v>
      </c>
      <c r="CO47" s="63">
        <f t="shared" ca="1" si="43"/>
        <v>79.285573308774488</v>
      </c>
      <c r="CP47" s="63">
        <f ca="1">SUM($CO$15:CO47)</f>
        <v>1662.3984735964846</v>
      </c>
      <c r="CR47" s="52">
        <f ca="1">EXP(-AVERAGE(CH$15:CH47)*CE47)</f>
        <v>0.87939270140682269</v>
      </c>
      <c r="CT47"/>
      <c r="CU47"/>
      <c r="CV47"/>
      <c r="CW47"/>
      <c r="CX47"/>
      <c r="CY47"/>
      <c r="CZ47"/>
      <c r="DA47"/>
      <c r="DB47"/>
      <c r="DC47"/>
      <c r="DD47"/>
      <c r="DE47"/>
      <c r="DF47"/>
      <c r="DG47"/>
      <c r="DH47"/>
      <c r="DI47"/>
      <c r="DJ47"/>
      <c r="DK47"/>
      <c r="DL47"/>
    </row>
    <row r="48" spans="2:116" ht="15.75" customHeight="1" x14ac:dyDescent="0.2">
      <c r="B48" s="52">
        <v>3</v>
      </c>
      <c r="C48" s="52">
        <f t="shared" ca="1" si="15"/>
        <v>34</v>
      </c>
      <c r="D48" s="71">
        <f t="shared" ca="1" si="16"/>
        <v>46195</v>
      </c>
      <c r="E48" s="71">
        <f t="shared" ca="1" si="0"/>
        <v>46225</v>
      </c>
      <c r="F48" s="72">
        <f t="shared" ca="1" si="1"/>
        <v>30</v>
      </c>
      <c r="G48" s="73">
        <f ca="1">SUM($F$15:F48)/360</f>
        <v>2.8722222222222222</v>
      </c>
      <c r="H48" s="74">
        <f t="shared" si="2"/>
        <v>25000000</v>
      </c>
      <c r="I48" s="59">
        <f>IF('Cap Pricer'!$E$22=DataValidation!$C$2,'Cap Pricer'!$E$23,IF('Cap Pricer'!$E$22=DataValidation!$C$3,VLOOKUP($B48,'Cap Pricer'!$C$25:$E$31,3),""))</f>
        <v>0.02</v>
      </c>
      <c r="J48" s="57">
        <f>Volatilities_Resets!$E37*0.01</f>
        <v>3.8538800000000005E-2</v>
      </c>
      <c r="K48" s="61">
        <f>IF(I48=L$11,Volatilities_Resets!$AA37,IF(I48&gt;=K$11,IF(I48&lt;L$11,(((Volatilities_Resets!$AA37-Volatilities_Resets!$Y37)/50)*((Calculator!I48-Calculator!K$11)*10000)+Volatilities_Resets!$Y37)),IF(I48&gt;=K$10,IF(I48&lt;L$10,(((Volatilities_Resets!$Y37-Volatilities_Resets!$W37)/50)*((Calculator!I48-Calculator!K$10)*10000)+Volatilities_Resets!$W37)),IF(I48&gt;=K$9,IF(I48&lt;L$9,(((Volatilities_Resets!$W37-Volatilities_Resets!$U37)/50)*((Calculator!I48-Calculator!K$9)*10000)+Volatilities_Resets!$U37)),IF(I48&gt;=K$8,IF(I48&lt;L$8,(((Volatilities_Resets!$U37-Volatilities_Resets!$S37)/50)*((Calculator!I48-Calculator!K$8)*10000)+Volatilities_Resets!$S37)),IF(I48&gt;=K$7,IF(I48&lt;L$7,(((Volatilities_Resets!$S37-Volatilities_Resets!$Q37)/50)*((Calculator!I48-Calculator!K$7)*10000)+Volatilities_Resets!$Q37)),IF(I48&gt;=K$6,IF(I48&lt;L$6,(((Volatilities_Resets!$Q37-Volatilities_Resets!$O37)/50)*((Calculator!I48-Calculator!K$6)*10000)+Volatilities_Resets!$O37)),IF(I48&gt;=K$5,IF(I48&lt;L$5,(((Volatilities_Resets!$O37-Volatilities_Resets!$M37)/50)*((Calculator!I48-Calculator!K$5)*10000)+Volatilities_Resets!$M37)),IF(I48&gt;=K$4,IF(I48&lt;L$4,(((Volatilities_Resets!$M37-Volatilities_Resets!$K37)/50)*((Calculator!I48-Calculator!K$4)*10000)+Volatilities_Resets!$K37)),IF(I48&gt;=K$3,IF(I48&lt;L$3,(((Volatilities_Resets!$K37-Volatilities_Resets!$I37)/50)*((Calculator!I48-Calculator!K$3)*10000)+Volatilities_Resets!$I37)),IF(I48&gt;=K$2,IF(I48&lt;L$2,(((Volatilities_Resets!$I37-Volatilities_Resets!$G37)/50)*((Calculator!I48-Calculator!K$2)*10000)+Volatilities_Resets!$G37)),"Well, something broke...")))))))))))/10000</f>
        <v>1.7113E-2</v>
      </c>
      <c r="L48" s="47">
        <f t="shared" ca="1" si="17"/>
        <v>42233.266015248555</v>
      </c>
      <c r="M48" s="63">
        <f t="shared" ca="1" si="18"/>
        <v>1.6933617073411076E-3</v>
      </c>
      <c r="N48" s="63">
        <f t="shared" ca="1" si="44"/>
        <v>1883026.1599296962</v>
      </c>
      <c r="Q48" s="63">
        <f t="shared" ca="1" si="19"/>
        <v>88.338869176049513</v>
      </c>
      <c r="R48" s="63">
        <f ca="1">SUM($Q$15:Q48)</f>
        <v>1640.2309397318788</v>
      </c>
      <c r="T48" s="52">
        <f ca="1">EXP(-AVERAGE(J$15:J48)*G48)</f>
        <v>0.87658056854356869</v>
      </c>
      <c r="U48" s="57"/>
      <c r="V48" s="52">
        <f t="shared" ca="1" si="20"/>
        <v>34</v>
      </c>
      <c r="W48" s="71">
        <f t="shared" ca="1" si="21"/>
        <v>46195</v>
      </c>
      <c r="X48" s="71">
        <f t="shared" ca="1" si="3"/>
        <v>46225</v>
      </c>
      <c r="Y48" s="72">
        <f t="shared" ca="1" si="4"/>
        <v>30</v>
      </c>
      <c r="Z48" s="73">
        <f ca="1">SUM(Y$15:Y48)/360</f>
        <v>2.8722222222222222</v>
      </c>
      <c r="AA48" s="74">
        <f t="shared" si="22"/>
        <v>25000000</v>
      </c>
      <c r="AB48" s="59">
        <f t="shared" si="23"/>
        <v>0.03</v>
      </c>
      <c r="AC48" s="57">
        <f>Volatilities_Resets!$E37*0.01</f>
        <v>3.8538800000000005E-2</v>
      </c>
      <c r="AD48" s="61">
        <f>IF(AB48=AE$11,Volatilities_Resets!$AA37,IF(AB48&gt;=AD$11,IF(AB48&lt;AE$11,(((Volatilities_Resets!$AA37-Volatilities_Resets!$Y37)/50)*((Calculator!AB48-Calculator!AD$11)*10000)+Volatilities_Resets!$Y37)),IF(AB48&gt;=AD$10,IF(AB48&lt;AE$10,(((Volatilities_Resets!$Y37-Volatilities_Resets!$W37)/50)*((Calculator!AB48-Calculator!AD$10)*10000)+Volatilities_Resets!$W37)),IF(AB48&gt;=AD$9,IF(AB48&lt;AE$9,(((Volatilities_Resets!$W37-Volatilities_Resets!$U37)/50)*((Calculator!AB48-Calculator!AD$9)*10000)+Volatilities_Resets!$U37)),IF(AB48&gt;=AD$8,IF(AB48&lt;AE$8,(((Volatilities_Resets!$U37-Volatilities_Resets!$S37)/50)*((Calculator!AB48-Calculator!AD$8)*10000)+Volatilities_Resets!$S37)),IF(AB48&gt;=AD$7,IF(AB48&lt;AE$7,(((Volatilities_Resets!$S37-Volatilities_Resets!$Q37)/50)*((Calculator!AB48-Calculator!AD$7)*10000)+Volatilities_Resets!$Q37)),IF(AB48&gt;=AD$6,IF(AB48&lt;AE$6,(((Volatilities_Resets!$Q37-Volatilities_Resets!$O37)/50)*((Calculator!AB48-Calculator!AD$6)*10000)+Volatilities_Resets!$O37)),IF(AB48&gt;=AD$5,IF(AB48&lt;AE$5,(((Volatilities_Resets!$O37-Volatilities_Resets!$M37)/50)*((Calculator!AB48-Calculator!AD$5)*10000)+Volatilities_Resets!$M37)),IF(AB48&gt;=AD$4,IF(AB48&lt;AE$4,(((Volatilities_Resets!$M37-Volatilities_Resets!$K37)/50)*((Calculator!AB48-Calculator!AD$4)*10000)+Volatilities_Resets!$K37)),IF(AB48&gt;=AD$3,IF(AB48&lt;AE$3,(((Volatilities_Resets!$K37-Volatilities_Resets!$I37)/50)*((Calculator!AB48-Calculator!AD$3)*10000)+Volatilities_Resets!$I37)),IF(AB48&gt;=AD$2,IF(AB48&lt;AE$2,(((Volatilities_Resets!$I37-Volatilities_Resets!$G37)/50)*((Calculator!AB48-Calculator!AD$2)*10000)+Volatilities_Resets!$G37)),"Well, something broke...")))))))))))/10000</f>
        <v>1.6475E-2</v>
      </c>
      <c r="AE48" s="63">
        <f t="shared" ca="1" si="24"/>
        <v>29082.781968527925</v>
      </c>
      <c r="AF48" s="63">
        <f t="shared" ca="1" si="25"/>
        <v>1.1680258656915994E-3</v>
      </c>
      <c r="AG48" s="63">
        <f t="shared" ca="1" si="45"/>
        <v>1299698.91005786</v>
      </c>
      <c r="AJ48" s="63">
        <f t="shared" ca="1" si="26"/>
        <v>103.31788273754928</v>
      </c>
      <c r="AK48" s="63">
        <f ca="1">SUM($AJ$15:AJ48)</f>
        <v>2057.1073602071629</v>
      </c>
      <c r="AM48" s="52">
        <f ca="1">EXP(-AVERAGE(AC$15:AC48)*Z48)</f>
        <v>0.87658056854356869</v>
      </c>
      <c r="AO48" s="52">
        <f t="shared" ca="1" si="27"/>
        <v>34</v>
      </c>
      <c r="AP48" s="71">
        <f t="shared" ca="1" si="28"/>
        <v>46195</v>
      </c>
      <c r="AQ48" s="71">
        <f t="shared" ca="1" si="5"/>
        <v>46225</v>
      </c>
      <c r="AR48" s="72">
        <f t="shared" ca="1" si="6"/>
        <v>30</v>
      </c>
      <c r="AS48" s="73">
        <f ca="1">SUM(AR$15:AR48)/360</f>
        <v>2.8722222222222222</v>
      </c>
      <c r="AT48" s="74">
        <f t="shared" si="7"/>
        <v>25000000</v>
      </c>
      <c r="AU48" s="59">
        <f t="shared" si="29"/>
        <v>0.04</v>
      </c>
      <c r="AV48" s="57">
        <f>Volatilities_Resets!$E37*0.01</f>
        <v>3.8538800000000005E-2</v>
      </c>
      <c r="AW48" s="61">
        <f>IF(AU48=AX$11,Volatilities_Resets!$AA37,IF(AU48&gt;=AW$11,IF(AU48&lt;AX$11,(((Volatilities_Resets!$AA37-Volatilities_Resets!$Y37)/50)*((Calculator!AU48-Calculator!AW$11)*10000)+Volatilities_Resets!$Y37)),IF(AU48&gt;=AW$10,IF(AU48&lt;AX$10,(((Volatilities_Resets!$Y37-Volatilities_Resets!$W37)/50)*((Calculator!AU48-Calculator!AW$10)*10000)+Volatilities_Resets!$W37)),IF(AU48&gt;=AW$9,IF(AU48&lt;AX$9,(((Volatilities_Resets!$W37-Volatilities_Resets!$U37)/50)*((Calculator!AU48-Calculator!AW$9)*10000)+Volatilities_Resets!$U37)),IF(AU48&gt;=AW$8,IF(AU48&lt;AX$8,(((Volatilities_Resets!$U37-Volatilities_Resets!$S37)/50)*((Calculator!AU48-Calculator!AW$8)*10000)+Volatilities_Resets!$S37)),IF(AU48&gt;=AW$7,IF(AU48&lt;AX$7,(((Volatilities_Resets!$S37-Volatilities_Resets!$Q37)/50)*((Calculator!AU48-Calculator!AW$7)*10000)+Volatilities_Resets!$Q37)),IF(AU48&gt;=AW$6,IF(AU48&lt;AX$6,(((Volatilities_Resets!$Q37-Volatilities_Resets!$O37)/50)*((Calculator!AU48-Calculator!AW$6)*10000)+Volatilities_Resets!$O37)),IF(AU48&gt;=AW$5,IF(AU48&lt;AX$5,(((Volatilities_Resets!$O37-Volatilities_Resets!$M37)/50)*((Calculator!AU48-Calculator!AW$5)*10000)+Volatilities_Resets!$M37)),IF(AU48&gt;=AW$4,IF(AU48&lt;AX$4,(((Volatilities_Resets!$M37-Volatilities_Resets!$K37)/50)*((Calculator!AU48-Calculator!AW$4)*10000)+Volatilities_Resets!$K37)),IF(AU48&gt;=AW$3,IF(AU48&lt;AX$3,(((Volatilities_Resets!$K37-Volatilities_Resets!$I37)/50)*((Calculator!AU48-Calculator!AW$3)*10000)+Volatilities_Resets!$I37)),IF(AU48&gt;=AW$2,IF(AU48&lt;AX$2,(((Volatilities_Resets!$I37-Volatilities_Resets!$G37)/50)*((Calculator!AU48-Calculator!AW$2)*10000)+Volatilities_Resets!$G37)),"Well, something broke...")))))))))))/10000</f>
        <v>1.5256E-2</v>
      </c>
      <c r="AX48" s="63">
        <f t="shared" ca="1" si="30"/>
        <v>17532.785412110879</v>
      </c>
      <c r="AY48" s="63">
        <f t="shared" ca="1" si="31"/>
        <v>7.0624248060792785E-4</v>
      </c>
      <c r="AZ48" s="63">
        <f t="shared" ca="1" si="46"/>
        <v>754086.5847732519</v>
      </c>
      <c r="BC48" s="63">
        <f t="shared" ca="1" si="8"/>
        <v>108.06187482239974</v>
      </c>
      <c r="BD48" s="63">
        <f ca="1">SUM($BC$15:BC48)</f>
        <v>2379.3431571815736</v>
      </c>
      <c r="BF48" s="52">
        <f ca="1">EXP(-AVERAGE(AV$15:AV48)*AS48)</f>
        <v>0.87658056854356869</v>
      </c>
      <c r="BH48" s="52">
        <f t="shared" ca="1" si="32"/>
        <v>34</v>
      </c>
      <c r="BI48" s="71">
        <f t="shared" ca="1" si="33"/>
        <v>46195</v>
      </c>
      <c r="BJ48" s="71">
        <f t="shared" ca="1" si="9"/>
        <v>46225</v>
      </c>
      <c r="BK48" s="72">
        <f t="shared" ca="1" si="10"/>
        <v>30</v>
      </c>
      <c r="BL48" s="73">
        <f ca="1">SUM(BK$15:BK48)/360</f>
        <v>2.8722222222222222</v>
      </c>
      <c r="BM48" s="74">
        <f t="shared" si="11"/>
        <v>25000000</v>
      </c>
      <c r="BN48" s="59">
        <f t="shared" si="34"/>
        <v>0.05</v>
      </c>
      <c r="BO48" s="57">
        <f>Volatilities_Resets!$E37*0.01</f>
        <v>3.8538800000000005E-2</v>
      </c>
      <c r="BP48" s="61">
        <f>IF(BN48=BQ$11,Volatilities_Resets!$AA37,IF(BN48&gt;=BP$11,IF(BN48&lt;BQ$11,(((Volatilities_Resets!$AA37-Volatilities_Resets!$Y37)/50)*((Calculator!BN48-Calculator!BP$11)*10000)+Volatilities_Resets!$Y37)),IF(BN48&gt;=BP$10,IF(BN48&lt;BQ$10,(((Volatilities_Resets!$Y37-Volatilities_Resets!$W37)/50)*((Calculator!BN48-Calculator!BP$10)*10000)+Volatilities_Resets!$W37)),IF(BN48&gt;=BP$9,IF(BN48&lt;BQ$9,(((Volatilities_Resets!$W37-Volatilities_Resets!$U37)/50)*((Calculator!BN48-Calculator!BP$9)*10000)+Volatilities_Resets!$U37)),IF(BN48&gt;=BP$8,IF(BN48&lt;BQ$8,(((Volatilities_Resets!$U37-Volatilities_Resets!$S37)/50)*((Calculator!BN48-Calculator!BP$8)*10000)+Volatilities_Resets!$S37)),IF(BN48&gt;=BP$7,IF(BN48&lt;BQ$7,(((Volatilities_Resets!$S37-Volatilities_Resets!$Q37)/50)*((Calculator!BN48-Calculator!BP$7)*10000)+Volatilities_Resets!$Q37)),IF(BN48&gt;=BP$6,IF(BN48&lt;BQ$6,(((Volatilities_Resets!$Q37-Volatilities_Resets!$O37)/50)*((Calculator!BN48-Calculator!BP$6)*10000)+Volatilities_Resets!$O37)),IF(BN48&gt;=BP$5,IF(BN48&lt;BQ$5,(((Volatilities_Resets!$O37-Volatilities_Resets!$M37)/50)*((Calculator!BN48-Calculator!BP$5)*10000)+Volatilities_Resets!$M37)),IF(BN48&gt;=BP$4,IF(BN48&lt;BQ$4,(((Volatilities_Resets!$M37-Volatilities_Resets!$K37)/50)*((Calculator!BN48-Calculator!BP$4)*10000)+Volatilities_Resets!$K37)),IF(BN48&gt;=BP$3,IF(BN48&lt;BQ$3,(((Volatilities_Resets!$K37-Volatilities_Resets!$I37)/50)*((Calculator!BN48-Calculator!BP$3)*10000)+Volatilities_Resets!$I37)),IF(BN48&gt;=BP$2,IF(BN48&lt;BQ$2,(((Volatilities_Resets!$I37-Volatilities_Resets!$G37)/50)*((Calculator!BN48-Calculator!BP$2)*10000)+Volatilities_Resets!$G37)),"Well, something broke...")))))))))))/10000</f>
        <v>1.47E-2</v>
      </c>
      <c r="BQ48" s="63">
        <f t="shared" ca="1" si="35"/>
        <v>9572.7077480304688</v>
      </c>
      <c r="BR48" s="63">
        <f t="shared" ca="1" si="36"/>
        <v>3.8735444007069144E-4</v>
      </c>
      <c r="BS48" s="63">
        <f t="shared" ca="1" si="47"/>
        <v>313538.19878245844</v>
      </c>
      <c r="BV48" s="63">
        <f t="shared" ca="1" si="37"/>
        <v>97.434782356087169</v>
      </c>
      <c r="BW48" s="63">
        <f ca="1">SUM($BV$15:BV48)</f>
        <v>2515.0999554425271</v>
      </c>
      <c r="BY48" s="52">
        <f ca="1">EXP(-AVERAGE(BO$15:BO48)*BL48)</f>
        <v>0.87658056854356869</v>
      </c>
      <c r="CA48" s="52">
        <f t="shared" ca="1" si="38"/>
        <v>34</v>
      </c>
      <c r="CB48" s="71">
        <f t="shared" ca="1" si="39"/>
        <v>46195</v>
      </c>
      <c r="CC48" s="71">
        <f t="shared" ca="1" si="12"/>
        <v>46225</v>
      </c>
      <c r="CD48" s="72">
        <f t="shared" ca="1" si="13"/>
        <v>30</v>
      </c>
      <c r="CE48" s="73">
        <f ca="1">SUM(CD$15:CD48)/360</f>
        <v>2.8722222222222222</v>
      </c>
      <c r="CF48" s="74">
        <f t="shared" si="14"/>
        <v>25000000</v>
      </c>
      <c r="CG48" s="59">
        <f t="shared" si="40"/>
        <v>0.06</v>
      </c>
      <c r="CH48" s="57">
        <f>Volatilities_Resets!$E37*0.01</f>
        <v>3.8538800000000005E-2</v>
      </c>
      <c r="CI48" s="61">
        <f>IF(CG48=CJ$11,Volatilities_Resets!$AA37,IF(CG48&gt;=CI$11,IF(CG48&lt;CJ$11,(((Volatilities_Resets!$AA37-Volatilities_Resets!$Y37)/50)*((Calculator!CG48-Calculator!CI$11)*10000)+Volatilities_Resets!$Y37)),IF(CG48&gt;=CI$10,IF(CG48&lt;CJ$10,(((Volatilities_Resets!$Y37-Volatilities_Resets!$W37)/50)*((Calculator!CG48-Calculator!CI$10)*10000)+Volatilities_Resets!$W37)),IF(CG48&gt;=CI$9,IF(CG48&lt;CJ$9,(((Volatilities_Resets!$W37-Volatilities_Resets!$U37)/50)*((Calculator!CG48-Calculator!CI$9)*10000)+Volatilities_Resets!$U37)),IF(CG48&gt;=CI$8,IF(CG48&lt;CJ$8,(((Volatilities_Resets!$U37-Volatilities_Resets!$S37)/50)*((Calculator!CG48-Calculator!CI$8)*10000)+Volatilities_Resets!$S37)),IF(CG48&gt;=CI$7,IF(CG48&lt;CJ$7,(((Volatilities_Resets!$S37-Volatilities_Resets!$Q37)/50)*((Calculator!CG48-Calculator!CI$7)*10000)+Volatilities_Resets!$Q37)),IF(CG48&gt;=CI$6,IF(CG48&lt;CJ$6,(((Volatilities_Resets!$Q37-Volatilities_Resets!$O37)/50)*((Calculator!CG48-Calculator!CI$6)*10000)+Volatilities_Resets!$O37)),IF(CG48&gt;=CI$5,IF(CG48&lt;CJ$5,(((Volatilities_Resets!$O37-Volatilities_Resets!$M37)/50)*((Calculator!CG48-Calculator!CI$5)*10000)+Volatilities_Resets!$M37)),IF(CG48&gt;=CI$4,IF(CG48&lt;CJ$4,(((Volatilities_Resets!$M37-Volatilities_Resets!$K37)/50)*((Calculator!CG48-Calculator!CI$4)*10000)+Volatilities_Resets!$K37)),IF(CG48&gt;=CI$3,IF(CG48&lt;CJ$3,(((Volatilities_Resets!$K37-Volatilities_Resets!$I37)/50)*((Calculator!CG48-Calculator!CI$3)*10000)+Volatilities_Resets!$I37)),IF(CG48&gt;=CI$2,IF(CG48&lt;CJ$2,(((Volatilities_Resets!$I37-Volatilities_Resets!$G37)/50)*((Calculator!CG48-Calculator!CI$2)*10000)+Volatilities_Resets!$G37)),"Well, something broke...")))))))))))/10000</f>
        <v>1.5628E-2</v>
      </c>
      <c r="CJ48" s="63">
        <f t="shared" ca="1" si="41"/>
        <v>5709.5249874350393</v>
      </c>
      <c r="CK48" s="63">
        <f t="shared" ca="1" si="42"/>
        <v>2.3194521062397676E-4</v>
      </c>
      <c r="CL48" s="63">
        <f t="shared" ca="1" si="48"/>
        <v>95411.159216511674</v>
      </c>
      <c r="CO48" s="63">
        <f t="shared" ca="1" si="43"/>
        <v>78.107955393564808</v>
      </c>
      <c r="CP48" s="63">
        <f ca="1">SUM($CO$15:CO48)</f>
        <v>1740.5064289900495</v>
      </c>
      <c r="CR48" s="52">
        <f ca="1">EXP(-AVERAGE(CH$15:CH48)*CE48)</f>
        <v>0.87658056854356869</v>
      </c>
      <c r="CT48"/>
      <c r="CU48"/>
      <c r="CV48"/>
      <c r="CW48"/>
      <c r="CX48"/>
      <c r="CY48"/>
      <c r="CZ48"/>
      <c r="DA48"/>
      <c r="DB48"/>
      <c r="DC48"/>
      <c r="DD48"/>
      <c r="DE48"/>
      <c r="DF48"/>
      <c r="DG48"/>
      <c r="DH48"/>
      <c r="DI48"/>
      <c r="DJ48"/>
      <c r="DK48"/>
      <c r="DL48"/>
    </row>
    <row r="49" spans="2:116" ht="15.75" customHeight="1" x14ac:dyDescent="0.2">
      <c r="B49" s="52">
        <v>3</v>
      </c>
      <c r="C49" s="52">
        <f t="shared" ca="1" si="15"/>
        <v>35</v>
      </c>
      <c r="D49" s="71">
        <f t="shared" ca="1" si="16"/>
        <v>46225</v>
      </c>
      <c r="E49" s="71">
        <f t="shared" ca="1" si="0"/>
        <v>46256</v>
      </c>
      <c r="F49" s="72">
        <f t="shared" ca="1" si="1"/>
        <v>31</v>
      </c>
      <c r="G49" s="73">
        <f ca="1">SUM($F$15:F49)/360</f>
        <v>2.9583333333333335</v>
      </c>
      <c r="H49" s="74">
        <f t="shared" si="2"/>
        <v>25000000</v>
      </c>
      <c r="I49" s="59">
        <f>IF('Cap Pricer'!$E$22=DataValidation!$C$2,'Cap Pricer'!$E$23,IF('Cap Pricer'!$E$22=DataValidation!$C$3,VLOOKUP($B49,'Cap Pricer'!$C$25:$E$31,3),""))</f>
        <v>0.02</v>
      </c>
      <c r="J49" s="57">
        <f>Volatilities_Resets!$E38*0.01</f>
        <v>3.8540899999999996E-2</v>
      </c>
      <c r="K49" s="61">
        <f>IF(I49=L$11,Volatilities_Resets!$AA38,IF(I49&gt;=K$11,IF(I49&lt;L$11,(((Volatilities_Resets!$AA38-Volatilities_Resets!$Y38)/50)*((Calculator!I49-Calculator!K$11)*10000)+Volatilities_Resets!$Y38)),IF(I49&gt;=K$10,IF(I49&lt;L$10,(((Volatilities_Resets!$Y38-Volatilities_Resets!$W38)/50)*((Calculator!I49-Calculator!K$10)*10000)+Volatilities_Resets!$W38)),IF(I49&gt;=K$9,IF(I49&lt;L$9,(((Volatilities_Resets!$W38-Volatilities_Resets!$U38)/50)*((Calculator!I49-Calculator!K$9)*10000)+Volatilities_Resets!$U38)),IF(I49&gt;=K$8,IF(I49&lt;L$8,(((Volatilities_Resets!$U38-Volatilities_Resets!$S38)/50)*((Calculator!I49-Calculator!K$8)*10000)+Volatilities_Resets!$S38)),IF(I49&gt;=K$7,IF(I49&lt;L$7,(((Volatilities_Resets!$S38-Volatilities_Resets!$Q38)/50)*((Calculator!I49-Calculator!K$7)*10000)+Volatilities_Resets!$Q38)),IF(I49&gt;=K$6,IF(I49&lt;L$6,(((Volatilities_Resets!$Q38-Volatilities_Resets!$O38)/50)*((Calculator!I49-Calculator!K$6)*10000)+Volatilities_Resets!$O38)),IF(I49&gt;=K$5,IF(I49&lt;L$5,(((Volatilities_Resets!$O38-Volatilities_Resets!$M38)/50)*((Calculator!I49-Calculator!K$5)*10000)+Volatilities_Resets!$M38)),IF(I49&gt;=K$4,IF(I49&lt;L$4,(((Volatilities_Resets!$M38-Volatilities_Resets!$K38)/50)*((Calculator!I49-Calculator!K$4)*10000)+Volatilities_Resets!$K38)),IF(I49&gt;=K$3,IF(I49&lt;L$3,(((Volatilities_Resets!$K38-Volatilities_Resets!$I38)/50)*((Calculator!I49-Calculator!K$3)*10000)+Volatilities_Resets!$I38)),IF(I49&gt;=K$2,IF(I49&lt;L$2,(((Volatilities_Resets!$I38-Volatilities_Resets!$G38)/50)*((Calculator!I49-Calculator!K$2)*10000)+Volatilities_Resets!$G38)),"Well, something broke...")))))))))))/10000</f>
        <v>1.6812999999999998E-2</v>
      </c>
      <c r="L49" s="47">
        <f t="shared" ca="1" si="17"/>
        <v>43447.23518431776</v>
      </c>
      <c r="M49" s="63">
        <f t="shared" ca="1" si="18"/>
        <v>1.7420976593542619E-3</v>
      </c>
      <c r="N49" s="63">
        <f t="shared" ca="1" si="44"/>
        <v>1926473.3951140139</v>
      </c>
      <c r="Q49" s="63">
        <f t="shared" ca="1" si="19"/>
        <v>91.915171336679137</v>
      </c>
      <c r="R49" s="63">
        <f ca="1">SUM($Q$15:Q49)</f>
        <v>1732.146111068558</v>
      </c>
      <c r="T49" s="52">
        <f ca="1">EXP(-AVERAGE(J$15:J49)*G49)</f>
        <v>0.87366604223916955</v>
      </c>
      <c r="U49" s="57"/>
      <c r="V49" s="52">
        <f t="shared" ca="1" si="20"/>
        <v>35</v>
      </c>
      <c r="W49" s="71">
        <f t="shared" ca="1" si="21"/>
        <v>46225</v>
      </c>
      <c r="X49" s="71">
        <f t="shared" ca="1" si="3"/>
        <v>46256</v>
      </c>
      <c r="Y49" s="72">
        <f t="shared" ca="1" si="4"/>
        <v>31</v>
      </c>
      <c r="Z49" s="73">
        <f ca="1">SUM(Y$15:Y49)/360</f>
        <v>2.9583333333333335</v>
      </c>
      <c r="AA49" s="74">
        <f t="shared" si="22"/>
        <v>25000000</v>
      </c>
      <c r="AB49" s="59">
        <f t="shared" si="23"/>
        <v>0.03</v>
      </c>
      <c r="AC49" s="57">
        <f>Volatilities_Resets!$E38*0.01</f>
        <v>3.8540899999999996E-2</v>
      </c>
      <c r="AD49" s="61">
        <f>IF(AB49=AE$11,Volatilities_Resets!$AA38,IF(AB49&gt;=AD$11,IF(AB49&lt;AE$11,(((Volatilities_Resets!$AA38-Volatilities_Resets!$Y38)/50)*((Calculator!AB49-Calculator!AD$11)*10000)+Volatilities_Resets!$Y38)),IF(AB49&gt;=AD$10,IF(AB49&lt;AE$10,(((Volatilities_Resets!$Y38-Volatilities_Resets!$W38)/50)*((Calculator!AB49-Calculator!AD$10)*10000)+Volatilities_Resets!$W38)),IF(AB49&gt;=AD$9,IF(AB49&lt;AE$9,(((Volatilities_Resets!$W38-Volatilities_Resets!$U38)/50)*((Calculator!AB49-Calculator!AD$9)*10000)+Volatilities_Resets!$U38)),IF(AB49&gt;=AD$8,IF(AB49&lt;AE$8,(((Volatilities_Resets!$U38-Volatilities_Resets!$S38)/50)*((Calculator!AB49-Calculator!AD$8)*10000)+Volatilities_Resets!$S38)),IF(AB49&gt;=AD$7,IF(AB49&lt;AE$7,(((Volatilities_Resets!$S38-Volatilities_Resets!$Q38)/50)*((Calculator!AB49-Calculator!AD$7)*10000)+Volatilities_Resets!$Q38)),IF(AB49&gt;=AD$6,IF(AB49&lt;AE$6,(((Volatilities_Resets!$Q38-Volatilities_Resets!$O38)/50)*((Calculator!AB49-Calculator!AD$6)*10000)+Volatilities_Resets!$O38)),IF(AB49&gt;=AD$5,IF(AB49&lt;AE$5,(((Volatilities_Resets!$O38-Volatilities_Resets!$M38)/50)*((Calculator!AB49-Calculator!AD$5)*10000)+Volatilities_Resets!$M38)),IF(AB49&gt;=AD$4,IF(AB49&lt;AE$4,(((Volatilities_Resets!$M38-Volatilities_Resets!$K38)/50)*((Calculator!AB49-Calculator!AD$4)*10000)+Volatilities_Resets!$K38)),IF(AB49&gt;=AD$3,IF(AB49&lt;AE$3,(((Volatilities_Resets!$K38-Volatilities_Resets!$I38)/50)*((Calculator!AB49-Calculator!AD$3)*10000)+Volatilities_Resets!$I38)),IF(AB49&gt;=AD$2,IF(AB49&lt;AE$2,(((Volatilities_Resets!$I38-Volatilities_Resets!$G38)/50)*((Calculator!AB49-Calculator!AD$2)*10000)+Volatilities_Resets!$G38)),"Well, something broke...")))))))))))/10000</f>
        <v>1.6271000000000001E-2</v>
      </c>
      <c r="AE49" s="63">
        <f t="shared" ca="1" si="24"/>
        <v>30000.985089043581</v>
      </c>
      <c r="AF49" s="63">
        <f t="shared" ca="1" si="25"/>
        <v>1.2049681551851922E-3</v>
      </c>
      <c r="AG49" s="63">
        <f t="shared" ca="1" si="45"/>
        <v>1329699.8951469036</v>
      </c>
      <c r="AJ49" s="63">
        <f t="shared" ca="1" si="26"/>
        <v>107.65207310096403</v>
      </c>
      <c r="AK49" s="63">
        <f ca="1">SUM($AJ$15:AJ49)</f>
        <v>2164.759433308127</v>
      </c>
      <c r="AM49" s="52">
        <f ca="1">EXP(-AVERAGE(AC$15:AC49)*Z49)</f>
        <v>0.87366604223916955</v>
      </c>
      <c r="AO49" s="52">
        <f t="shared" ca="1" si="27"/>
        <v>35</v>
      </c>
      <c r="AP49" s="71">
        <f t="shared" ca="1" si="28"/>
        <v>46225</v>
      </c>
      <c r="AQ49" s="71">
        <f t="shared" ca="1" si="5"/>
        <v>46256</v>
      </c>
      <c r="AR49" s="72">
        <f t="shared" ca="1" si="6"/>
        <v>31</v>
      </c>
      <c r="AS49" s="73">
        <f ca="1">SUM(AR$15:AR49)/360</f>
        <v>2.9583333333333335</v>
      </c>
      <c r="AT49" s="74">
        <f t="shared" si="7"/>
        <v>25000000</v>
      </c>
      <c r="AU49" s="59">
        <f t="shared" si="29"/>
        <v>0.04</v>
      </c>
      <c r="AV49" s="57">
        <f>Volatilities_Resets!$E38*0.01</f>
        <v>3.8540899999999996E-2</v>
      </c>
      <c r="AW49" s="61">
        <f>IF(AU49=AX$11,Volatilities_Resets!$AA38,IF(AU49&gt;=AW$11,IF(AU49&lt;AX$11,(((Volatilities_Resets!$AA38-Volatilities_Resets!$Y38)/50)*((Calculator!AU49-Calculator!AW$11)*10000)+Volatilities_Resets!$Y38)),IF(AU49&gt;=AW$10,IF(AU49&lt;AX$10,(((Volatilities_Resets!$Y38-Volatilities_Resets!$W38)/50)*((Calculator!AU49-Calculator!AW$10)*10000)+Volatilities_Resets!$W38)),IF(AU49&gt;=AW$9,IF(AU49&lt;AX$9,(((Volatilities_Resets!$W38-Volatilities_Resets!$U38)/50)*((Calculator!AU49-Calculator!AW$9)*10000)+Volatilities_Resets!$U38)),IF(AU49&gt;=AW$8,IF(AU49&lt;AX$8,(((Volatilities_Resets!$U38-Volatilities_Resets!$S38)/50)*((Calculator!AU49-Calculator!AW$8)*10000)+Volatilities_Resets!$S38)),IF(AU49&gt;=AW$7,IF(AU49&lt;AX$7,(((Volatilities_Resets!$S38-Volatilities_Resets!$Q38)/50)*((Calculator!AU49-Calculator!AW$7)*10000)+Volatilities_Resets!$Q38)),IF(AU49&gt;=AW$6,IF(AU49&lt;AX$6,(((Volatilities_Resets!$Q38-Volatilities_Resets!$O38)/50)*((Calculator!AU49-Calculator!AW$6)*10000)+Volatilities_Resets!$O38)),IF(AU49&gt;=AW$5,IF(AU49&lt;AX$5,(((Volatilities_Resets!$O38-Volatilities_Resets!$M38)/50)*((Calculator!AU49-Calculator!AW$5)*10000)+Volatilities_Resets!$M38)),IF(AU49&gt;=AW$4,IF(AU49&lt;AX$4,(((Volatilities_Resets!$M38-Volatilities_Resets!$K38)/50)*((Calculator!AU49-Calculator!AW$4)*10000)+Volatilities_Resets!$K38)),IF(AU49&gt;=AW$3,IF(AU49&lt;AX$3,(((Volatilities_Resets!$K38-Volatilities_Resets!$I38)/50)*((Calculator!AU49-Calculator!AW$3)*10000)+Volatilities_Resets!$I38)),IF(AU49&gt;=AW$2,IF(AU49&lt;AX$2,(((Volatilities_Resets!$I38-Volatilities_Resets!$G38)/50)*((Calculator!AU49-Calculator!AW$2)*10000)+Volatilities_Resets!$G38)),"Well, something broke...")))))))))))/10000</f>
        <v>1.5141E-2</v>
      </c>
      <c r="AX49" s="63">
        <f t="shared" ca="1" si="30"/>
        <v>18198.890502840008</v>
      </c>
      <c r="AY49" s="63">
        <f t="shared" ca="1" si="31"/>
        <v>7.3310981790080981E-4</v>
      </c>
      <c r="AZ49" s="63">
        <f t="shared" ca="1" si="46"/>
        <v>772285.47527609195</v>
      </c>
      <c r="BC49" s="63">
        <f t="shared" ca="1" si="8"/>
        <v>112.57618954173056</v>
      </c>
      <c r="BD49" s="63">
        <f ca="1">SUM($BC$15:BC49)</f>
        <v>2491.919346723304</v>
      </c>
      <c r="BF49" s="52">
        <f ca="1">EXP(-AVERAGE(AV$15:AV49)*AS49)</f>
        <v>0.87366604223916955</v>
      </c>
      <c r="BH49" s="52">
        <f t="shared" ca="1" si="32"/>
        <v>35</v>
      </c>
      <c r="BI49" s="71">
        <f t="shared" ca="1" si="33"/>
        <v>46225</v>
      </c>
      <c r="BJ49" s="71">
        <f t="shared" ca="1" si="9"/>
        <v>46256</v>
      </c>
      <c r="BK49" s="72">
        <f t="shared" ca="1" si="10"/>
        <v>31</v>
      </c>
      <c r="BL49" s="73">
        <f ca="1">SUM(BK$15:BK49)/360</f>
        <v>2.9583333333333335</v>
      </c>
      <c r="BM49" s="74">
        <f t="shared" si="11"/>
        <v>25000000</v>
      </c>
      <c r="BN49" s="59">
        <f t="shared" si="34"/>
        <v>0.05</v>
      </c>
      <c r="BO49" s="57">
        <f>Volatilities_Resets!$E38*0.01</f>
        <v>3.8540899999999996E-2</v>
      </c>
      <c r="BP49" s="61">
        <f>IF(BN49=BQ$11,Volatilities_Resets!$AA38,IF(BN49&gt;=BP$11,IF(BN49&lt;BQ$11,(((Volatilities_Resets!$AA38-Volatilities_Resets!$Y38)/50)*((Calculator!BN49-Calculator!BP$11)*10000)+Volatilities_Resets!$Y38)),IF(BN49&gt;=BP$10,IF(BN49&lt;BQ$10,(((Volatilities_Resets!$Y38-Volatilities_Resets!$W38)/50)*((Calculator!BN49-Calculator!BP$10)*10000)+Volatilities_Resets!$W38)),IF(BN49&gt;=BP$9,IF(BN49&lt;BQ$9,(((Volatilities_Resets!$W38-Volatilities_Resets!$U38)/50)*((Calculator!BN49-Calculator!BP$9)*10000)+Volatilities_Resets!$U38)),IF(BN49&gt;=BP$8,IF(BN49&lt;BQ$8,(((Volatilities_Resets!$U38-Volatilities_Resets!$S38)/50)*((Calculator!BN49-Calculator!BP$8)*10000)+Volatilities_Resets!$S38)),IF(BN49&gt;=BP$7,IF(BN49&lt;BQ$7,(((Volatilities_Resets!$S38-Volatilities_Resets!$Q38)/50)*((Calculator!BN49-Calculator!BP$7)*10000)+Volatilities_Resets!$Q38)),IF(BN49&gt;=BP$6,IF(BN49&lt;BQ$6,(((Volatilities_Resets!$Q38-Volatilities_Resets!$O38)/50)*((Calculator!BN49-Calculator!BP$6)*10000)+Volatilities_Resets!$O38)),IF(BN49&gt;=BP$5,IF(BN49&lt;BQ$5,(((Volatilities_Resets!$O38-Volatilities_Resets!$M38)/50)*((Calculator!BN49-Calculator!BP$5)*10000)+Volatilities_Resets!$M38)),IF(BN49&gt;=BP$4,IF(BN49&lt;BQ$4,(((Volatilities_Resets!$M38-Volatilities_Resets!$K38)/50)*((Calculator!BN49-Calculator!BP$4)*10000)+Volatilities_Resets!$K38)),IF(BN49&gt;=BP$3,IF(BN49&lt;BQ$3,(((Volatilities_Resets!$K38-Volatilities_Resets!$I38)/50)*((Calculator!BN49-Calculator!BP$3)*10000)+Volatilities_Resets!$I38)),IF(BN49&gt;=BP$2,IF(BN49&lt;BQ$2,(((Volatilities_Resets!$I38-Volatilities_Resets!$G38)/50)*((Calculator!BN49-Calculator!BP$2)*10000)+Volatilities_Resets!$G38)),"Well, something broke...")))))))))))/10000</f>
        <v>1.4647E-2</v>
      </c>
      <c r="BQ49" s="63">
        <f t="shared" ca="1" si="35"/>
        <v>10049.097402358657</v>
      </c>
      <c r="BR49" s="63">
        <f t="shared" ca="1" si="36"/>
        <v>4.0662206896220735E-4</v>
      </c>
      <c r="BS49" s="63">
        <f t="shared" ca="1" si="47"/>
        <v>323587.2961848171</v>
      </c>
      <c r="BV49" s="63">
        <f t="shared" ca="1" si="37"/>
        <v>101.74218633825178</v>
      </c>
      <c r="BW49" s="63">
        <f ca="1">SUM($BV$15:BV49)</f>
        <v>2616.842141780779</v>
      </c>
      <c r="BY49" s="52">
        <f ca="1">EXP(-AVERAGE(BO$15:BO49)*BL49)</f>
        <v>0.87366604223916955</v>
      </c>
      <c r="CA49" s="52">
        <f t="shared" ca="1" si="38"/>
        <v>35</v>
      </c>
      <c r="CB49" s="71">
        <f t="shared" ca="1" si="39"/>
        <v>46225</v>
      </c>
      <c r="CC49" s="71">
        <f t="shared" ca="1" si="12"/>
        <v>46256</v>
      </c>
      <c r="CD49" s="72">
        <f t="shared" ca="1" si="13"/>
        <v>31</v>
      </c>
      <c r="CE49" s="73">
        <f ca="1">SUM(CD$15:CD49)/360</f>
        <v>2.9583333333333335</v>
      </c>
      <c r="CF49" s="74">
        <f t="shared" si="14"/>
        <v>25000000</v>
      </c>
      <c r="CG49" s="59">
        <f t="shared" si="40"/>
        <v>0.06</v>
      </c>
      <c r="CH49" s="57">
        <f>Volatilities_Resets!$E38*0.01</f>
        <v>3.8540899999999996E-2</v>
      </c>
      <c r="CI49" s="61">
        <f>IF(CG49=CJ$11,Volatilities_Resets!$AA38,IF(CG49&gt;=CI$11,IF(CG49&lt;CJ$11,(((Volatilities_Resets!$AA38-Volatilities_Resets!$Y38)/50)*((Calculator!CG49-Calculator!CI$11)*10000)+Volatilities_Resets!$Y38)),IF(CG49&gt;=CI$10,IF(CG49&lt;CJ$10,(((Volatilities_Resets!$Y38-Volatilities_Resets!$W38)/50)*((Calculator!CG49-Calculator!CI$10)*10000)+Volatilities_Resets!$W38)),IF(CG49&gt;=CI$9,IF(CG49&lt;CJ$9,(((Volatilities_Resets!$W38-Volatilities_Resets!$U38)/50)*((Calculator!CG49-Calculator!CI$9)*10000)+Volatilities_Resets!$U38)),IF(CG49&gt;=CI$8,IF(CG49&lt;CJ$8,(((Volatilities_Resets!$U38-Volatilities_Resets!$S38)/50)*((Calculator!CG49-Calculator!CI$8)*10000)+Volatilities_Resets!$S38)),IF(CG49&gt;=CI$7,IF(CG49&lt;CJ$7,(((Volatilities_Resets!$S38-Volatilities_Resets!$Q38)/50)*((Calculator!CG49-Calculator!CI$7)*10000)+Volatilities_Resets!$Q38)),IF(CG49&gt;=CI$6,IF(CG49&lt;CJ$6,(((Volatilities_Resets!$Q38-Volatilities_Resets!$O38)/50)*((Calculator!CG49-Calculator!CI$6)*10000)+Volatilities_Resets!$O38)),IF(CG49&gt;=CI$5,IF(CG49&lt;CJ$5,(((Volatilities_Resets!$O38-Volatilities_Resets!$M38)/50)*((Calculator!CG49-Calculator!CI$5)*10000)+Volatilities_Resets!$M38)),IF(CG49&gt;=CI$4,IF(CG49&lt;CJ$4,(((Volatilities_Resets!$M38-Volatilities_Resets!$K38)/50)*((Calculator!CG49-Calculator!CI$4)*10000)+Volatilities_Resets!$K38)),IF(CG49&gt;=CI$3,IF(CG49&lt;CJ$3,(((Volatilities_Resets!$K38-Volatilities_Resets!$I38)/50)*((Calculator!CG49-Calculator!CI$3)*10000)+Volatilities_Resets!$I38)),IF(CG49&gt;=CI$2,IF(CG49&lt;CJ$2,(((Volatilities_Resets!$I38-Volatilities_Resets!$G38)/50)*((Calculator!CG49-Calculator!CI$2)*10000)+Volatilities_Resets!$G38)),"Well, something broke...")))))))))))/10000</f>
        <v>1.5605000000000001E-2</v>
      </c>
      <c r="CJ49" s="63">
        <f t="shared" ca="1" si="41"/>
        <v>6073.4744856489651</v>
      </c>
      <c r="CK49" s="63">
        <f t="shared" ca="1" si="42"/>
        <v>2.4669664536316967E-4</v>
      </c>
      <c r="CL49" s="63">
        <f t="shared" ca="1" si="48"/>
        <v>101484.63370216065</v>
      </c>
      <c r="CO49" s="63">
        <f t="shared" ca="1" si="43"/>
        <v>82.07362818550331</v>
      </c>
      <c r="CP49" s="63">
        <f ca="1">SUM($CO$15:CO49)</f>
        <v>1822.5800571755528</v>
      </c>
      <c r="CR49" s="52">
        <f ca="1">EXP(-AVERAGE(CH$15:CH49)*CE49)</f>
        <v>0.87366604223916955</v>
      </c>
      <c r="CT49"/>
      <c r="CU49"/>
      <c r="CV49"/>
      <c r="CW49"/>
      <c r="CX49"/>
      <c r="CY49"/>
      <c r="CZ49"/>
      <c r="DA49"/>
      <c r="DB49"/>
      <c r="DC49"/>
      <c r="DD49"/>
      <c r="DE49"/>
      <c r="DF49"/>
      <c r="DG49"/>
      <c r="DH49"/>
      <c r="DI49"/>
      <c r="DJ49"/>
      <c r="DK49"/>
      <c r="DL49"/>
    </row>
    <row r="50" spans="2:116" ht="15.75" customHeight="1" x14ac:dyDescent="0.2">
      <c r="B50" s="52">
        <v>3</v>
      </c>
      <c r="C50" s="75">
        <f t="shared" ca="1" si="15"/>
        <v>36</v>
      </c>
      <c r="D50" s="76">
        <f t="shared" ca="1" si="16"/>
        <v>46256</v>
      </c>
      <c r="E50" s="76">
        <f t="shared" ca="1" si="0"/>
        <v>46287</v>
      </c>
      <c r="F50" s="77">
        <f t="shared" ca="1" si="1"/>
        <v>31</v>
      </c>
      <c r="G50" s="78">
        <f ca="1">SUM($F$15:F50)/360</f>
        <v>3.0444444444444443</v>
      </c>
      <c r="H50" s="79">
        <f t="shared" si="2"/>
        <v>25000000</v>
      </c>
      <c r="I50" s="80">
        <f>IF('Cap Pricer'!$E$22=DataValidation!$C$2,'Cap Pricer'!$E$23,IF('Cap Pricer'!$E$22=DataValidation!$C$3,VLOOKUP($B50,'Cap Pricer'!$C$25:$E$31,3),""))</f>
        <v>0.02</v>
      </c>
      <c r="J50" s="81">
        <f>Volatilities_Resets!$E39*0.01</f>
        <v>3.8544999999999996E-2</v>
      </c>
      <c r="K50" s="82">
        <f>IF(I50=L$11,Volatilities_Resets!$AA39,IF(I50&gt;=K$11,IF(I50&lt;L$11,(((Volatilities_Resets!$AA39-Volatilities_Resets!$Y39)/50)*((Calculator!I50-Calculator!K$11)*10000)+Volatilities_Resets!$Y39)),IF(I50&gt;=K$10,IF(I50&lt;L$10,(((Volatilities_Resets!$Y39-Volatilities_Resets!$W39)/50)*((Calculator!I50-Calculator!K$10)*10000)+Volatilities_Resets!$W39)),IF(I50&gt;=K$9,IF(I50&lt;L$9,(((Volatilities_Resets!$W39-Volatilities_Resets!$U39)/50)*((Calculator!I50-Calculator!K$9)*10000)+Volatilities_Resets!$U39)),IF(I50&gt;=K$8,IF(I50&lt;L$8,(((Volatilities_Resets!$U39-Volatilities_Resets!$S39)/50)*((Calculator!I50-Calculator!K$8)*10000)+Volatilities_Resets!$S39)),IF(I50&gt;=K$7,IF(I50&lt;L$7,(((Volatilities_Resets!$S39-Volatilities_Resets!$Q39)/50)*((Calculator!I50-Calculator!K$7)*10000)+Volatilities_Resets!$Q39)),IF(I50&gt;=K$6,IF(I50&lt;L$6,(((Volatilities_Resets!$Q39-Volatilities_Resets!$O39)/50)*((Calculator!I50-Calculator!K$6)*10000)+Volatilities_Resets!$O39)),IF(I50&gt;=K$5,IF(I50&lt;L$5,(((Volatilities_Resets!$O39-Volatilities_Resets!$M39)/50)*((Calculator!I50-Calculator!K$5)*10000)+Volatilities_Resets!$M39)),IF(I50&gt;=K$4,IF(I50&lt;L$4,(((Volatilities_Resets!$M39-Volatilities_Resets!$K39)/50)*((Calculator!I50-Calculator!K$4)*10000)+Volatilities_Resets!$K39)),IF(I50&gt;=K$3,IF(I50&lt;L$3,(((Volatilities_Resets!$K39-Volatilities_Resets!$I39)/50)*((Calculator!I50-Calculator!K$3)*10000)+Volatilities_Resets!$I39)),IF(I50&gt;=K$2,IF(I50&lt;L$2,(((Volatilities_Resets!$I39-Volatilities_Resets!$G39)/50)*((Calculator!I50-Calculator!K$2)*10000)+Volatilities_Resets!$G39)),"Well, something broke...")))))))))))/10000</f>
        <v>1.6471E-2</v>
      </c>
      <c r="L50" s="83">
        <f t="shared" ca="1" si="17"/>
        <v>43199.703442678307</v>
      </c>
      <c r="M50" s="84">
        <f t="shared" ca="1" si="18"/>
        <v>1.7322318817747219E-3</v>
      </c>
      <c r="N50" s="84">
        <f t="shared" ca="1" si="44"/>
        <v>1969673.0985566922</v>
      </c>
      <c r="O50" s="84">
        <f ca="1">SUM(L39:L50)</f>
        <v>508460.46719797543</v>
      </c>
      <c r="P50" s="49"/>
      <c r="Q50" s="84">
        <f t="shared" ca="1" si="19"/>
        <v>92.382220210137191</v>
      </c>
      <c r="R50" s="84">
        <f ca="1">SUM($Q$15:Q50)</f>
        <v>1824.5283312786951</v>
      </c>
      <c r="T50" s="52">
        <f ca="1">EXP(-AVERAGE(J$15:J50)*G50)</f>
        <v>0.87076146665564491</v>
      </c>
      <c r="U50" s="57"/>
      <c r="V50" s="75">
        <f t="shared" ca="1" si="20"/>
        <v>36</v>
      </c>
      <c r="W50" s="76">
        <f t="shared" ca="1" si="21"/>
        <v>46256</v>
      </c>
      <c r="X50" s="76">
        <f t="shared" ca="1" si="3"/>
        <v>46287</v>
      </c>
      <c r="Y50" s="77">
        <f t="shared" ca="1" si="4"/>
        <v>31</v>
      </c>
      <c r="Z50" s="78">
        <f ca="1">SUM(Y$15:Y50)/360</f>
        <v>3.0444444444444443</v>
      </c>
      <c r="AA50" s="79">
        <f t="shared" si="22"/>
        <v>25000000</v>
      </c>
      <c r="AB50" s="80">
        <f t="shared" si="23"/>
        <v>0.03</v>
      </c>
      <c r="AC50" s="81">
        <f>Volatilities_Resets!$E39*0.01</f>
        <v>3.8544999999999996E-2</v>
      </c>
      <c r="AD50" s="82">
        <f>IF(AB50=AE$11,Volatilities_Resets!$AA39,IF(AB50&gt;=AD$11,IF(AB50&lt;AE$11,(((Volatilities_Resets!$AA39-Volatilities_Resets!$Y39)/50)*((Calculator!AB50-Calculator!AD$11)*10000)+Volatilities_Resets!$Y39)),IF(AB50&gt;=AD$10,IF(AB50&lt;AE$10,(((Volatilities_Resets!$Y39-Volatilities_Resets!$W39)/50)*((Calculator!AB50-Calculator!AD$10)*10000)+Volatilities_Resets!$W39)),IF(AB50&gt;=AD$9,IF(AB50&lt;AE$9,(((Volatilities_Resets!$W39-Volatilities_Resets!$U39)/50)*((Calculator!AB50-Calculator!AD$9)*10000)+Volatilities_Resets!$U39)),IF(AB50&gt;=AD$8,IF(AB50&lt;AE$8,(((Volatilities_Resets!$U39-Volatilities_Resets!$S39)/50)*((Calculator!AB50-Calculator!AD$8)*10000)+Volatilities_Resets!$S39)),IF(AB50&gt;=AD$7,IF(AB50&lt;AE$7,(((Volatilities_Resets!$S39-Volatilities_Resets!$Q39)/50)*((Calculator!AB50-Calculator!AD$7)*10000)+Volatilities_Resets!$Q39)),IF(AB50&gt;=AD$6,IF(AB50&lt;AE$6,(((Volatilities_Resets!$Q39-Volatilities_Resets!$O39)/50)*((Calculator!AB50-Calculator!AD$6)*10000)+Volatilities_Resets!$O39)),IF(AB50&gt;=AD$5,IF(AB50&lt;AE$5,(((Volatilities_Resets!$O39-Volatilities_Resets!$M39)/50)*((Calculator!AB50-Calculator!AD$5)*10000)+Volatilities_Resets!$M39)),IF(AB50&gt;=AD$4,IF(AB50&lt;AE$4,(((Volatilities_Resets!$M39-Volatilities_Resets!$K39)/50)*((Calculator!AB50-Calculator!AD$4)*10000)+Volatilities_Resets!$K39)),IF(AB50&gt;=AD$3,IF(AB50&lt;AE$3,(((Volatilities_Resets!$K39-Volatilities_Resets!$I39)/50)*((Calculator!AB50-Calculator!AD$3)*10000)+Volatilities_Resets!$I39)),IF(AB50&gt;=AD$2,IF(AB50&lt;AE$2,(((Volatilities_Resets!$I39-Volatilities_Resets!$G39)/50)*((Calculator!AB50-Calculator!AD$2)*10000)+Volatilities_Resets!$G39)),"Well, something broke...")))))))))))/10000</f>
        <v>1.6033000000000002E-2</v>
      </c>
      <c r="AE50" s="84">
        <f t="shared" ca="1" si="24"/>
        <v>29898.238111830466</v>
      </c>
      <c r="AF50" s="84">
        <f t="shared" ca="1" si="25"/>
        <v>1.2009124914769812E-3</v>
      </c>
      <c r="AG50" s="84">
        <f t="shared" ca="1" si="45"/>
        <v>1359598.1332587341</v>
      </c>
      <c r="AH50" s="84">
        <f ca="1">SUM(AE39:AE50)</f>
        <v>344999.42226487939</v>
      </c>
      <c r="AI50" s="49"/>
      <c r="AJ50" s="84">
        <f t="shared" ca="1" si="26"/>
        <v>108.47439141232518</v>
      </c>
      <c r="AK50" s="84">
        <f ca="1">SUM($AJ$15:AJ50)</f>
        <v>2273.233824720452</v>
      </c>
      <c r="AM50" s="52">
        <f ca="1">EXP(-AVERAGE(AC$15:AC50)*Z50)</f>
        <v>0.87076146665564491</v>
      </c>
      <c r="AO50" s="75">
        <f t="shared" ca="1" si="27"/>
        <v>36</v>
      </c>
      <c r="AP50" s="76">
        <f t="shared" ca="1" si="28"/>
        <v>46256</v>
      </c>
      <c r="AQ50" s="76">
        <f t="shared" ca="1" si="5"/>
        <v>46287</v>
      </c>
      <c r="AR50" s="77">
        <f t="shared" ca="1" si="6"/>
        <v>31</v>
      </c>
      <c r="AS50" s="78">
        <f ca="1">SUM(AR$15:AR50)/360</f>
        <v>3.0444444444444443</v>
      </c>
      <c r="AT50" s="79">
        <f t="shared" si="7"/>
        <v>25000000</v>
      </c>
      <c r="AU50" s="80">
        <f t="shared" si="29"/>
        <v>0.04</v>
      </c>
      <c r="AV50" s="81">
        <f>Volatilities_Resets!$E39*0.01</f>
        <v>3.8544999999999996E-2</v>
      </c>
      <c r="AW50" s="82">
        <f>IF(AU50=AX$11,Volatilities_Resets!$AA39,IF(AU50&gt;=AW$11,IF(AU50&lt;AX$11,(((Volatilities_Resets!$AA39-Volatilities_Resets!$Y39)/50)*((Calculator!AU50-Calculator!AW$11)*10000)+Volatilities_Resets!$Y39)),IF(AU50&gt;=AW$10,IF(AU50&lt;AX$10,(((Volatilities_Resets!$Y39-Volatilities_Resets!$W39)/50)*((Calculator!AU50-Calculator!AW$10)*10000)+Volatilities_Resets!$W39)),IF(AU50&gt;=AW$9,IF(AU50&lt;AX$9,(((Volatilities_Resets!$W39-Volatilities_Resets!$U39)/50)*((Calculator!AU50-Calculator!AW$9)*10000)+Volatilities_Resets!$U39)),IF(AU50&gt;=AW$8,IF(AU50&lt;AX$8,(((Volatilities_Resets!$U39-Volatilities_Resets!$S39)/50)*((Calculator!AU50-Calculator!AW$8)*10000)+Volatilities_Resets!$S39)),IF(AU50&gt;=AW$7,IF(AU50&lt;AX$7,(((Volatilities_Resets!$S39-Volatilities_Resets!$Q39)/50)*((Calculator!AU50-Calculator!AW$7)*10000)+Volatilities_Resets!$Q39)),IF(AU50&gt;=AW$6,IF(AU50&lt;AX$6,(((Volatilities_Resets!$Q39-Volatilities_Resets!$O39)/50)*((Calculator!AU50-Calculator!AW$6)*10000)+Volatilities_Resets!$O39)),IF(AU50&gt;=AW$5,IF(AU50&lt;AX$5,(((Volatilities_Resets!$O39-Volatilities_Resets!$M39)/50)*((Calculator!AU50-Calculator!AW$5)*10000)+Volatilities_Resets!$M39)),IF(AU50&gt;=AW$4,IF(AU50&lt;AX$4,(((Volatilities_Resets!$M39-Volatilities_Resets!$K39)/50)*((Calculator!AU50-Calculator!AW$4)*10000)+Volatilities_Resets!$K39)),IF(AU50&gt;=AW$3,IF(AU50&lt;AX$3,(((Volatilities_Resets!$K39-Volatilities_Resets!$I39)/50)*((Calculator!AU50-Calculator!AW$3)*10000)+Volatilities_Resets!$I39)),IF(AU50&gt;=AW$2,IF(AU50&lt;AX$2,(((Volatilities_Resets!$I39-Volatilities_Resets!$G39)/50)*((Calculator!AU50-Calculator!AW$2)*10000)+Volatilities_Resets!$G39)),"Well, something broke...")))))))))))/10000</f>
        <v>1.5003000000000001E-2</v>
      </c>
      <c r="AX50" s="84">
        <f t="shared" ca="1" si="30"/>
        <v>18243.242607132946</v>
      </c>
      <c r="AY50" s="84">
        <f t="shared" ca="1" si="31"/>
        <v>7.3494112450950809E-4</v>
      </c>
      <c r="AZ50" s="84">
        <f t="shared" ca="1" si="46"/>
        <v>790528.71788322495</v>
      </c>
      <c r="BA50" s="84">
        <f ca="1">SUM(AX39:AX50)</f>
        <v>203314.20635783829</v>
      </c>
      <c r="BB50" s="49"/>
      <c r="BC50" s="84">
        <f t="shared" ca="1" si="8"/>
        <v>113.44759794437027</v>
      </c>
      <c r="BD50" s="84">
        <f ca="1">SUM($BC$15:BC50)</f>
        <v>2605.366944667674</v>
      </c>
      <c r="BF50" s="52">
        <f ca="1">EXP(-AVERAGE(AV$15:AV50)*AS50)</f>
        <v>0.87076146665564491</v>
      </c>
      <c r="BH50" s="75">
        <f t="shared" ca="1" si="32"/>
        <v>36</v>
      </c>
      <c r="BI50" s="76">
        <f t="shared" ca="1" si="33"/>
        <v>46256</v>
      </c>
      <c r="BJ50" s="76">
        <f t="shared" ca="1" si="9"/>
        <v>46287</v>
      </c>
      <c r="BK50" s="77">
        <f t="shared" ca="1" si="10"/>
        <v>31</v>
      </c>
      <c r="BL50" s="78">
        <f ca="1">SUM(BK$15:BK50)/360</f>
        <v>3.0444444444444443</v>
      </c>
      <c r="BM50" s="79">
        <f t="shared" si="11"/>
        <v>25000000</v>
      </c>
      <c r="BN50" s="80">
        <f t="shared" si="34"/>
        <v>0.05</v>
      </c>
      <c r="BO50" s="81">
        <f>Volatilities_Resets!$E39*0.01</f>
        <v>3.8544999999999996E-2</v>
      </c>
      <c r="BP50" s="82">
        <f>IF(BN50=BQ$11,Volatilities_Resets!$AA39,IF(BN50&gt;=BP$11,IF(BN50&lt;BQ$11,(((Volatilities_Resets!$AA39-Volatilities_Resets!$Y39)/50)*((Calculator!BN50-Calculator!BP$11)*10000)+Volatilities_Resets!$Y39)),IF(BN50&gt;=BP$10,IF(BN50&lt;BQ$10,(((Volatilities_Resets!$Y39-Volatilities_Resets!$W39)/50)*((Calculator!BN50-Calculator!BP$10)*10000)+Volatilities_Resets!$W39)),IF(BN50&gt;=BP$9,IF(BN50&lt;BQ$9,(((Volatilities_Resets!$W39-Volatilities_Resets!$U39)/50)*((Calculator!BN50-Calculator!BP$9)*10000)+Volatilities_Resets!$U39)),IF(BN50&gt;=BP$8,IF(BN50&lt;BQ$8,(((Volatilities_Resets!$U39-Volatilities_Resets!$S39)/50)*((Calculator!BN50-Calculator!BP$8)*10000)+Volatilities_Resets!$S39)),IF(BN50&gt;=BP$7,IF(BN50&lt;BQ$7,(((Volatilities_Resets!$S39-Volatilities_Resets!$Q39)/50)*((Calculator!BN50-Calculator!BP$7)*10000)+Volatilities_Resets!$Q39)),IF(BN50&gt;=BP$6,IF(BN50&lt;BQ$6,(((Volatilities_Resets!$Q39-Volatilities_Resets!$O39)/50)*((Calculator!BN50-Calculator!BP$6)*10000)+Volatilities_Resets!$O39)),IF(BN50&gt;=BP$5,IF(BN50&lt;BQ$5,(((Volatilities_Resets!$O39-Volatilities_Resets!$M39)/50)*((Calculator!BN50-Calculator!BP$5)*10000)+Volatilities_Resets!$M39)),IF(BN50&gt;=BP$4,IF(BN50&lt;BQ$4,(((Volatilities_Resets!$M39-Volatilities_Resets!$K39)/50)*((Calculator!BN50-Calculator!BP$4)*10000)+Volatilities_Resets!$K39)),IF(BN50&gt;=BP$3,IF(BN50&lt;BQ$3,(((Volatilities_Resets!$K39-Volatilities_Resets!$I39)/50)*((Calculator!BN50-Calculator!BP$3)*10000)+Volatilities_Resets!$I39)),IF(BN50&gt;=BP$2,IF(BN50&lt;BQ$2,(((Volatilities_Resets!$I39-Volatilities_Resets!$G39)/50)*((Calculator!BN50-Calculator!BP$2)*10000)+Volatilities_Resets!$G39)),"Well, something broke...")))))))))))/10000</f>
        <v>1.4581999999999999E-2</v>
      </c>
      <c r="BQ50" s="84">
        <f t="shared" ca="1" si="35"/>
        <v>10187.363972098312</v>
      </c>
      <c r="BR50" s="84">
        <f t="shared" ca="1" si="36"/>
        <v>4.1221418020417092E-4</v>
      </c>
      <c r="BS50" s="84">
        <f t="shared" ca="1" si="47"/>
        <v>333774.66015691543</v>
      </c>
      <c r="BT50" s="84">
        <f ca="1">SUM(BQ39:BQ50)</f>
        <v>107196.23231427971</v>
      </c>
      <c r="BU50" s="49"/>
      <c r="BV50" s="84">
        <f t="shared" ca="1" si="37"/>
        <v>102.74160957175224</v>
      </c>
      <c r="BW50" s="84">
        <f ca="1">SUM($BV$15:BV50)</f>
        <v>2719.5837513525312</v>
      </c>
      <c r="BY50" s="52">
        <f ca="1">EXP(-AVERAGE(BO$15:BO50)*BL50)</f>
        <v>0.87076146665564491</v>
      </c>
      <c r="CA50" s="75">
        <f t="shared" ca="1" si="38"/>
        <v>36</v>
      </c>
      <c r="CB50" s="76">
        <f t="shared" ca="1" si="39"/>
        <v>46256</v>
      </c>
      <c r="CC50" s="76">
        <f t="shared" ca="1" si="12"/>
        <v>46287</v>
      </c>
      <c r="CD50" s="77">
        <f t="shared" ca="1" si="13"/>
        <v>31</v>
      </c>
      <c r="CE50" s="78">
        <f ca="1">SUM(CD$15:CD50)/360</f>
        <v>3.0444444444444443</v>
      </c>
      <c r="CF50" s="79">
        <f t="shared" si="14"/>
        <v>25000000</v>
      </c>
      <c r="CG50" s="80">
        <f t="shared" si="40"/>
        <v>0.06</v>
      </c>
      <c r="CH50" s="81">
        <f>Volatilities_Resets!$E39*0.01</f>
        <v>3.8544999999999996E-2</v>
      </c>
      <c r="CI50" s="82">
        <f>IF(CG50=CJ$11,Volatilities_Resets!$AA39,IF(CG50&gt;=CI$11,IF(CG50&lt;CJ$11,(((Volatilities_Resets!$AA39-Volatilities_Resets!$Y39)/50)*((Calculator!CG50-Calculator!CI$11)*10000)+Volatilities_Resets!$Y39)),IF(CG50&gt;=CI$10,IF(CG50&lt;CJ$10,(((Volatilities_Resets!$Y39-Volatilities_Resets!$W39)/50)*((Calculator!CG50-Calculator!CI$10)*10000)+Volatilities_Resets!$W39)),IF(CG50&gt;=CI$9,IF(CG50&lt;CJ$9,(((Volatilities_Resets!$W39-Volatilities_Resets!$U39)/50)*((Calculator!CG50-Calculator!CI$9)*10000)+Volatilities_Resets!$U39)),IF(CG50&gt;=CI$8,IF(CG50&lt;CJ$8,(((Volatilities_Resets!$U39-Volatilities_Resets!$S39)/50)*((Calculator!CG50-Calculator!CI$8)*10000)+Volatilities_Resets!$S39)),IF(CG50&gt;=CI$7,IF(CG50&lt;CJ$7,(((Volatilities_Resets!$S39-Volatilities_Resets!$Q39)/50)*((Calculator!CG50-Calculator!CI$7)*10000)+Volatilities_Resets!$Q39)),IF(CG50&gt;=CI$6,IF(CG50&lt;CJ$6,(((Volatilities_Resets!$Q39-Volatilities_Resets!$O39)/50)*((Calculator!CG50-Calculator!CI$6)*10000)+Volatilities_Resets!$O39)),IF(CG50&gt;=CI$5,IF(CG50&lt;CJ$5,(((Volatilities_Resets!$O39-Volatilities_Resets!$M39)/50)*((Calculator!CG50-Calculator!CI$5)*10000)+Volatilities_Resets!$M39)),IF(CG50&gt;=CI$4,IF(CG50&lt;CJ$4,(((Volatilities_Resets!$M39-Volatilities_Resets!$K39)/50)*((Calculator!CG50-Calculator!CI$4)*10000)+Volatilities_Resets!$K39)),IF(CG50&gt;=CI$3,IF(CG50&lt;CJ$3,(((Volatilities_Resets!$K39-Volatilities_Resets!$I39)/50)*((Calculator!CG50-Calculator!CI$3)*10000)+Volatilities_Resets!$I39)),IF(CG50&gt;=CI$2,IF(CG50&lt;CJ$2,(((Volatilities_Resets!$I39-Volatilities_Resets!$G39)/50)*((Calculator!CG50-Calculator!CI$2)*10000)+Volatilities_Resets!$G39)),"Well, something broke...")))))))))))/10000</f>
        <v>1.5575E-2</v>
      </c>
      <c r="CJ50" s="84">
        <f t="shared" ca="1" si="41"/>
        <v>6237.9101828936855</v>
      </c>
      <c r="CK50" s="84">
        <f t="shared" ca="1" si="42"/>
        <v>2.5334588618214208E-4</v>
      </c>
      <c r="CL50" s="84">
        <f t="shared" ca="1" si="48"/>
        <v>107722.54388505433</v>
      </c>
      <c r="CM50" s="84">
        <f ca="1">SUM(CJ39:CJ50)</f>
        <v>61468.851905162162</v>
      </c>
      <c r="CN50" s="49"/>
      <c r="CO50" s="84">
        <f t="shared" ca="1" si="43"/>
        <v>83.364065855715666</v>
      </c>
      <c r="CP50" s="84">
        <f ca="1">SUM($CO$15:CO50)</f>
        <v>1905.9441230312684</v>
      </c>
      <c r="CR50" s="52">
        <f ca="1">EXP(-AVERAGE(CH$15:CH50)*CE50)</f>
        <v>0.87076146665564491</v>
      </c>
      <c r="CT50"/>
      <c r="CU50"/>
      <c r="CV50"/>
      <c r="CW50"/>
      <c r="CX50"/>
      <c r="CY50"/>
      <c r="CZ50"/>
      <c r="DA50"/>
      <c r="DB50"/>
      <c r="DC50"/>
      <c r="DD50"/>
      <c r="DE50"/>
      <c r="DF50"/>
      <c r="DG50"/>
      <c r="DH50"/>
      <c r="DI50"/>
      <c r="DJ50"/>
      <c r="DK50"/>
      <c r="DL50"/>
    </row>
    <row r="51" spans="2:116" ht="15.75" customHeight="1" x14ac:dyDescent="0.2">
      <c r="B51" s="52">
        <v>4</v>
      </c>
      <c r="C51" s="52">
        <f t="shared" ref="C51:C74" ca="1" si="49">IF(D51="","",C50+1)</f>
        <v>37</v>
      </c>
      <c r="D51" s="71">
        <f t="shared" ca="1" si="16"/>
        <v>46287</v>
      </c>
      <c r="E51" s="71">
        <f t="shared" ref="E51:E74" ca="1" si="50">EDATE(D51,1)</f>
        <v>46317</v>
      </c>
      <c r="F51" s="72">
        <f t="shared" ref="F51:F74" ca="1" si="51">E51-D51</f>
        <v>30</v>
      </c>
      <c r="G51" s="73">
        <f ca="1">SUM($F$15:F51)/360</f>
        <v>3.1277777777777778</v>
      </c>
      <c r="H51" s="74">
        <f t="shared" si="2"/>
        <v>25000000</v>
      </c>
      <c r="I51" s="59">
        <f>IF('Cap Pricer'!$E$22=DataValidation!$C$2,'Cap Pricer'!$E$23,IF('Cap Pricer'!$E$22=DataValidation!$C$3,VLOOKUP($B51,'Cap Pricer'!$C$25:$E$31,3),""))</f>
        <v>0.02</v>
      </c>
      <c r="J51" s="57">
        <f>Volatilities_Resets!$E40*0.01</f>
        <v>3.7571500000000001E-2</v>
      </c>
      <c r="K51" s="61">
        <f>IF(I51=L$11,Volatilities_Resets!$AA40,IF(I51&gt;=K$11,IF(I51&lt;L$11,(((Volatilities_Resets!$AA40-Volatilities_Resets!$Y40)/50)*((Calculator!I51-Calculator!K$11)*10000)+Volatilities_Resets!$Y40)),IF(I51&gt;=K$10,IF(I51&lt;L$10,(((Volatilities_Resets!$Y40-Volatilities_Resets!$W40)/50)*((Calculator!I51-Calculator!K$10)*10000)+Volatilities_Resets!$W40)),IF(I51&gt;=K$9,IF(I51&lt;L$9,(((Volatilities_Resets!$W40-Volatilities_Resets!$U40)/50)*((Calculator!I51-Calculator!K$9)*10000)+Volatilities_Resets!$U40)),IF(I51&gt;=K$8,IF(I51&lt;L$8,(((Volatilities_Resets!$U40-Volatilities_Resets!$S40)/50)*((Calculator!I51-Calculator!K$8)*10000)+Volatilities_Resets!$S40)),IF(I51&gt;=K$7,IF(I51&lt;L$7,(((Volatilities_Resets!$S40-Volatilities_Resets!$Q40)/50)*((Calculator!I51-Calculator!K$7)*10000)+Volatilities_Resets!$Q40)),IF(I51&gt;=K$6,IF(I51&lt;L$6,(((Volatilities_Resets!$Q40-Volatilities_Resets!$O40)/50)*((Calculator!I51-Calculator!K$6)*10000)+Volatilities_Resets!$O40)),IF(I51&gt;=K$5,IF(I51&lt;L$5,(((Volatilities_Resets!$O40-Volatilities_Resets!$M40)/50)*((Calculator!I51-Calculator!K$5)*10000)+Volatilities_Resets!$M40)),IF(I51&gt;=K$4,IF(I51&lt;L$4,(((Volatilities_Resets!$M40-Volatilities_Resets!$K40)/50)*((Calculator!I51-Calculator!K$4)*10000)+Volatilities_Resets!$K40)),IF(I51&gt;=K$3,IF(I51&lt;L$3,(((Volatilities_Resets!$K40-Volatilities_Resets!$I40)/50)*((Calculator!I51-Calculator!K$3)*10000)+Volatilities_Resets!$I40)),IF(I51&gt;=K$2,IF(I51&lt;L$2,(((Volatilities_Resets!$I40-Volatilities_Resets!$G40)/50)*((Calculator!I51-Calculator!K$2)*10000)+Volatilities_Resets!$G40)),"Well, something broke...")))))))))))/10000</f>
        <v>1.3184999999999999E-2</v>
      </c>
      <c r="L51" s="47">
        <f t="shared" ca="1" si="17"/>
        <v>37274.316043046456</v>
      </c>
      <c r="M51" s="63">
        <f t="shared" ca="1" si="18"/>
        <v>1.4948231243682099E-3</v>
      </c>
      <c r="N51" s="63">
        <f t="shared" ca="1" si="44"/>
        <v>2006947.4145997388</v>
      </c>
      <c r="Q51" s="63">
        <f t="shared" ca="1" si="19"/>
        <v>83.560058685630693</v>
      </c>
      <c r="R51" s="63">
        <f ca="1">SUM($Q$15:Q51)</f>
        <v>1908.0883899643259</v>
      </c>
      <c r="T51" s="52">
        <f ca="1">EXP(-AVERAGE(J$15:J51)*G51)</f>
        <v>0.86804763309145294</v>
      </c>
      <c r="U51" s="57"/>
      <c r="V51" s="52">
        <f t="shared" ca="1" si="20"/>
        <v>37</v>
      </c>
      <c r="W51" s="71">
        <f t="shared" ca="1" si="21"/>
        <v>46287</v>
      </c>
      <c r="X51" s="71">
        <f t="shared" ca="1" si="3"/>
        <v>46317</v>
      </c>
      <c r="Y51" s="72">
        <f t="shared" ca="1" si="4"/>
        <v>30</v>
      </c>
      <c r="Z51" s="73">
        <f ca="1">SUM(Y$15:Y51)/360</f>
        <v>3.1277777777777778</v>
      </c>
      <c r="AA51" s="74">
        <f t="shared" si="22"/>
        <v>25000000</v>
      </c>
      <c r="AB51" s="59">
        <f t="shared" si="23"/>
        <v>0.03</v>
      </c>
      <c r="AC51" s="57">
        <f>Volatilities_Resets!$E40*0.01</f>
        <v>3.7571500000000001E-2</v>
      </c>
      <c r="AD51" s="61">
        <f>IF(AB51=AE$11,Volatilities_Resets!$AA40,IF(AB51&gt;=AD$11,IF(AB51&lt;AE$11,(((Volatilities_Resets!$AA40-Volatilities_Resets!$Y40)/50)*((Calculator!AB51-Calculator!AD$11)*10000)+Volatilities_Resets!$Y40)),IF(AB51&gt;=AD$10,IF(AB51&lt;AE$10,(((Volatilities_Resets!$Y40-Volatilities_Resets!$W40)/50)*((Calculator!AB51-Calculator!AD$10)*10000)+Volatilities_Resets!$W40)),IF(AB51&gt;=AD$9,IF(AB51&lt;AE$9,(((Volatilities_Resets!$W40-Volatilities_Resets!$U40)/50)*((Calculator!AB51-Calculator!AD$9)*10000)+Volatilities_Resets!$U40)),IF(AB51&gt;=AD$8,IF(AB51&lt;AE$8,(((Volatilities_Resets!$U40-Volatilities_Resets!$S40)/50)*((Calculator!AB51-Calculator!AD$8)*10000)+Volatilities_Resets!$S40)),IF(AB51&gt;=AD$7,IF(AB51&lt;AE$7,(((Volatilities_Resets!$S40-Volatilities_Resets!$Q40)/50)*((Calculator!AB51-Calculator!AD$7)*10000)+Volatilities_Resets!$Q40)),IF(AB51&gt;=AD$6,IF(AB51&lt;AE$6,(((Volatilities_Resets!$Q40-Volatilities_Resets!$O40)/50)*((Calculator!AB51-Calculator!AD$6)*10000)+Volatilities_Resets!$O40)),IF(AB51&gt;=AD$5,IF(AB51&lt;AE$5,(((Volatilities_Resets!$O40-Volatilities_Resets!$M40)/50)*((Calculator!AB51-Calculator!AD$5)*10000)+Volatilities_Resets!$M40)),IF(AB51&gt;=AD$4,IF(AB51&lt;AE$4,(((Volatilities_Resets!$M40-Volatilities_Resets!$K40)/50)*((Calculator!AB51-Calculator!AD$4)*10000)+Volatilities_Resets!$K40)),IF(AB51&gt;=AD$3,IF(AB51&lt;AE$3,(((Volatilities_Resets!$K40-Volatilities_Resets!$I40)/50)*((Calculator!AB51-Calculator!AD$3)*10000)+Volatilities_Resets!$I40)),IF(AB51&gt;=AD$2,IF(AB51&lt;AE$2,(((Volatilities_Resets!$I40-Volatilities_Resets!$G40)/50)*((Calculator!AB51-Calculator!AD$2)*10000)+Volatilities_Resets!$G40)),"Well, something broke...")))))))))))/10000</f>
        <v>1.3196000000000001E-2</v>
      </c>
      <c r="AE51" s="63">
        <f t="shared" ca="1" si="24"/>
        <v>24561.996274577261</v>
      </c>
      <c r="AF51" s="63">
        <f t="shared" ca="1" si="25"/>
        <v>9.8732387589827667E-4</v>
      </c>
      <c r="AG51" s="63">
        <f t="shared" ca="1" si="45"/>
        <v>1384160.1295333114</v>
      </c>
      <c r="AJ51" s="63">
        <f t="shared" ca="1" si="26"/>
        <v>105.12110905658464</v>
      </c>
      <c r="AK51" s="63">
        <f ca="1">SUM($AJ$15:AJ51)</f>
        <v>2378.3549337770369</v>
      </c>
      <c r="AM51" s="52">
        <f ca="1">EXP(-AVERAGE(AC$15:AC51)*Z51)</f>
        <v>0.86804763309145294</v>
      </c>
      <c r="AO51" s="52">
        <f t="shared" ca="1" si="27"/>
        <v>37</v>
      </c>
      <c r="AP51" s="71">
        <f t="shared" ca="1" si="28"/>
        <v>46287</v>
      </c>
      <c r="AQ51" s="71">
        <f t="shared" ca="1" si="5"/>
        <v>46317</v>
      </c>
      <c r="AR51" s="72">
        <f t="shared" ca="1" si="6"/>
        <v>30</v>
      </c>
      <c r="AS51" s="73">
        <f ca="1">SUM(AR$15:AR51)/360</f>
        <v>3.1277777777777778</v>
      </c>
      <c r="AT51" s="74">
        <f t="shared" si="7"/>
        <v>25000000</v>
      </c>
      <c r="AU51" s="59">
        <f t="shared" si="29"/>
        <v>0.04</v>
      </c>
      <c r="AV51" s="57">
        <f>Volatilities_Resets!$E40*0.01</f>
        <v>3.7571500000000001E-2</v>
      </c>
      <c r="AW51" s="61">
        <f>IF(AU51=AX$11,Volatilities_Resets!$AA40,IF(AU51&gt;=AW$11,IF(AU51&lt;AX$11,(((Volatilities_Resets!$AA40-Volatilities_Resets!$Y40)/50)*((Calculator!AU51-Calculator!AW$11)*10000)+Volatilities_Resets!$Y40)),IF(AU51&gt;=AW$10,IF(AU51&lt;AX$10,(((Volatilities_Resets!$Y40-Volatilities_Resets!$W40)/50)*((Calculator!AU51-Calculator!AW$10)*10000)+Volatilities_Resets!$W40)),IF(AU51&gt;=AW$9,IF(AU51&lt;AX$9,(((Volatilities_Resets!$W40-Volatilities_Resets!$U40)/50)*((Calculator!AU51-Calculator!AW$9)*10000)+Volatilities_Resets!$U40)),IF(AU51&gt;=AW$8,IF(AU51&lt;AX$8,(((Volatilities_Resets!$U40-Volatilities_Resets!$S40)/50)*((Calculator!AU51-Calculator!AW$8)*10000)+Volatilities_Resets!$S40)),IF(AU51&gt;=AW$7,IF(AU51&lt;AX$7,(((Volatilities_Resets!$S40-Volatilities_Resets!$Q40)/50)*((Calculator!AU51-Calculator!AW$7)*10000)+Volatilities_Resets!$Q40)),IF(AU51&gt;=AW$6,IF(AU51&lt;AX$6,(((Volatilities_Resets!$Q40-Volatilities_Resets!$O40)/50)*((Calculator!AU51-Calculator!AW$6)*10000)+Volatilities_Resets!$O40)),IF(AU51&gt;=AW$5,IF(AU51&lt;AX$5,(((Volatilities_Resets!$O40-Volatilities_Resets!$M40)/50)*((Calculator!AU51-Calculator!AW$5)*10000)+Volatilities_Resets!$M40)),IF(AU51&gt;=AW$4,IF(AU51&lt;AX$4,(((Volatilities_Resets!$M40-Volatilities_Resets!$K40)/50)*((Calculator!AU51-Calculator!AW$4)*10000)+Volatilities_Resets!$K40)),IF(AU51&gt;=AW$3,IF(AU51&lt;AX$3,(((Volatilities_Resets!$K40-Volatilities_Resets!$I40)/50)*((Calculator!AU51-Calculator!AW$3)*10000)+Volatilities_Resets!$I40)),IF(AU51&gt;=AW$2,IF(AU51&lt;AX$2,(((Volatilities_Resets!$I40-Volatilities_Resets!$G40)/50)*((Calculator!AU51-Calculator!AW$2)*10000)+Volatilities_Resets!$G40)),"Well, something broke...")))))))))))/10000</f>
        <v>1.3521999999999999E-2</v>
      </c>
      <c r="AX51" s="63">
        <f t="shared" ca="1" si="30"/>
        <v>15146.259176237936</v>
      </c>
      <c r="AY51" s="63">
        <f t="shared" ca="1" si="31"/>
        <v>6.1092807195905325E-4</v>
      </c>
      <c r="AZ51" s="63">
        <f t="shared" ca="1" si="46"/>
        <v>805674.97705946292</v>
      </c>
      <c r="BC51" s="63">
        <f t="shared" ca="1" si="8"/>
        <v>110.19224320648573</v>
      </c>
      <c r="BD51" s="63">
        <f ca="1">SUM($BC$15:BC51)</f>
        <v>2715.5591878741598</v>
      </c>
      <c r="BF51" s="52">
        <f ca="1">EXP(-AVERAGE(AV$15:AV51)*AS51)</f>
        <v>0.86804763309145294</v>
      </c>
      <c r="BH51" s="52">
        <f t="shared" ca="1" si="32"/>
        <v>37</v>
      </c>
      <c r="BI51" s="71">
        <f t="shared" ca="1" si="33"/>
        <v>46287</v>
      </c>
      <c r="BJ51" s="71">
        <f t="shared" ca="1" si="9"/>
        <v>46317</v>
      </c>
      <c r="BK51" s="72">
        <f t="shared" ca="1" si="10"/>
        <v>30</v>
      </c>
      <c r="BL51" s="73">
        <f ca="1">SUM(BK$15:BK51)/360</f>
        <v>3.1277777777777778</v>
      </c>
      <c r="BM51" s="74">
        <f t="shared" si="11"/>
        <v>25000000</v>
      </c>
      <c r="BN51" s="59">
        <f t="shared" si="34"/>
        <v>0.05</v>
      </c>
      <c r="BO51" s="57">
        <f>Volatilities_Resets!$E40*0.01</f>
        <v>3.7571500000000001E-2</v>
      </c>
      <c r="BP51" s="61">
        <f>IF(BN51=BQ$11,Volatilities_Resets!$AA40,IF(BN51&gt;=BP$11,IF(BN51&lt;BQ$11,(((Volatilities_Resets!$AA40-Volatilities_Resets!$Y40)/50)*((Calculator!BN51-Calculator!BP$11)*10000)+Volatilities_Resets!$Y40)),IF(BN51&gt;=BP$10,IF(BN51&lt;BQ$10,(((Volatilities_Resets!$Y40-Volatilities_Resets!$W40)/50)*((Calculator!BN51-Calculator!BP$10)*10000)+Volatilities_Resets!$W40)),IF(BN51&gt;=BP$9,IF(BN51&lt;BQ$9,(((Volatilities_Resets!$W40-Volatilities_Resets!$U40)/50)*((Calculator!BN51-Calculator!BP$9)*10000)+Volatilities_Resets!$U40)),IF(BN51&gt;=BP$8,IF(BN51&lt;BQ$8,(((Volatilities_Resets!$U40-Volatilities_Resets!$S40)/50)*((Calculator!BN51-Calculator!BP$8)*10000)+Volatilities_Resets!$S40)),IF(BN51&gt;=BP$7,IF(BN51&lt;BQ$7,(((Volatilities_Resets!$S40-Volatilities_Resets!$Q40)/50)*((Calculator!BN51-Calculator!BP$7)*10000)+Volatilities_Resets!$Q40)),IF(BN51&gt;=BP$6,IF(BN51&lt;BQ$6,(((Volatilities_Resets!$Q40-Volatilities_Resets!$O40)/50)*((Calculator!BN51-Calculator!BP$6)*10000)+Volatilities_Resets!$O40)),IF(BN51&gt;=BP$5,IF(BN51&lt;BQ$5,(((Volatilities_Resets!$O40-Volatilities_Resets!$M40)/50)*((Calculator!BN51-Calculator!BP$5)*10000)+Volatilities_Resets!$M40)),IF(BN51&gt;=BP$4,IF(BN51&lt;BQ$4,(((Volatilities_Resets!$M40-Volatilities_Resets!$K40)/50)*((Calculator!BN51-Calculator!BP$4)*10000)+Volatilities_Resets!$K40)),IF(BN51&gt;=BP$3,IF(BN51&lt;BQ$3,(((Volatilities_Resets!$K40-Volatilities_Resets!$I40)/50)*((Calculator!BN51-Calculator!BP$3)*10000)+Volatilities_Resets!$I40)),IF(BN51&gt;=BP$2,IF(BN51&lt;BQ$2,(((Volatilities_Resets!$I40-Volatilities_Resets!$G40)/50)*((Calculator!BN51-Calculator!BP$2)*10000)+Volatilities_Resets!$G40)),"Well, something broke...")))))))))))/10000</f>
        <v>1.4178E-2</v>
      </c>
      <c r="BQ51" s="63">
        <f t="shared" ca="1" si="35"/>
        <v>9030.0450123882929</v>
      </c>
      <c r="BR51" s="63">
        <f t="shared" ca="1" si="36"/>
        <v>3.6571947632802458E-4</v>
      </c>
      <c r="BS51" s="63">
        <f t="shared" ca="1" si="47"/>
        <v>342804.70516930375</v>
      </c>
      <c r="BV51" s="63">
        <f t="shared" ca="1" si="37"/>
        <v>98.038945336747702</v>
      </c>
      <c r="BW51" s="63">
        <f ca="1">SUM($BV$15:BV51)</f>
        <v>2817.6226966892791</v>
      </c>
      <c r="BY51" s="52">
        <f ca="1">EXP(-AVERAGE(BO$15:BO51)*BL51)</f>
        <v>0.86804763309145294</v>
      </c>
      <c r="CA51" s="52">
        <f t="shared" ca="1" si="38"/>
        <v>37</v>
      </c>
      <c r="CB51" s="71">
        <f t="shared" ca="1" si="39"/>
        <v>46287</v>
      </c>
      <c r="CC51" s="71">
        <f t="shared" ca="1" si="12"/>
        <v>46317</v>
      </c>
      <c r="CD51" s="72">
        <f t="shared" ca="1" si="13"/>
        <v>30</v>
      </c>
      <c r="CE51" s="73">
        <f ca="1">SUM(CD$15:CD51)/360</f>
        <v>3.1277777777777778</v>
      </c>
      <c r="CF51" s="74">
        <f t="shared" si="14"/>
        <v>25000000</v>
      </c>
      <c r="CG51" s="59">
        <f t="shared" si="40"/>
        <v>0.06</v>
      </c>
      <c r="CH51" s="57">
        <f>Volatilities_Resets!$E40*0.01</f>
        <v>3.7571500000000001E-2</v>
      </c>
      <c r="CI51" s="61">
        <f>IF(CG51=CJ$11,Volatilities_Resets!$AA40,IF(CG51&gt;=CI$11,IF(CG51&lt;CJ$11,(((Volatilities_Resets!$AA40-Volatilities_Resets!$Y40)/50)*((Calculator!CG51-Calculator!CI$11)*10000)+Volatilities_Resets!$Y40)),IF(CG51&gt;=CI$10,IF(CG51&lt;CJ$10,(((Volatilities_Resets!$Y40-Volatilities_Resets!$W40)/50)*((Calculator!CG51-Calculator!CI$10)*10000)+Volatilities_Resets!$W40)),IF(CG51&gt;=CI$9,IF(CG51&lt;CJ$9,(((Volatilities_Resets!$W40-Volatilities_Resets!$U40)/50)*((Calculator!CG51-Calculator!CI$9)*10000)+Volatilities_Resets!$U40)),IF(CG51&gt;=CI$8,IF(CG51&lt;CJ$8,(((Volatilities_Resets!$U40-Volatilities_Resets!$S40)/50)*((Calculator!CG51-Calculator!CI$8)*10000)+Volatilities_Resets!$S40)),IF(CG51&gt;=CI$7,IF(CG51&lt;CJ$7,(((Volatilities_Resets!$S40-Volatilities_Resets!$Q40)/50)*((Calculator!CG51-Calculator!CI$7)*10000)+Volatilities_Resets!$Q40)),IF(CG51&gt;=CI$6,IF(CG51&lt;CJ$6,(((Volatilities_Resets!$Q40-Volatilities_Resets!$O40)/50)*((Calculator!CG51-Calculator!CI$6)*10000)+Volatilities_Resets!$O40)),IF(CG51&gt;=CI$5,IF(CG51&lt;CJ$5,(((Volatilities_Resets!$O40-Volatilities_Resets!$M40)/50)*((Calculator!CG51-Calculator!CI$5)*10000)+Volatilities_Resets!$M40)),IF(CG51&gt;=CI$4,IF(CG51&lt;CJ$4,(((Volatilities_Resets!$M40-Volatilities_Resets!$K40)/50)*((Calculator!CG51-Calculator!CI$4)*10000)+Volatilities_Resets!$K40)),IF(CG51&gt;=CI$3,IF(CG51&lt;CJ$3,(((Volatilities_Resets!$K40-Volatilities_Resets!$I40)/50)*((Calculator!CG51-Calculator!CI$3)*10000)+Volatilities_Resets!$I40)),IF(CG51&gt;=CI$2,IF(CG51&lt;CJ$2,(((Volatilities_Resets!$I40-Volatilities_Resets!$G40)/50)*((Calculator!CG51-Calculator!CI$2)*10000)+Volatilities_Resets!$G40)),"Well, something broke...")))))))))))/10000</f>
        <v>1.5096E-2</v>
      </c>
      <c r="CJ51" s="63">
        <f t="shared" ca="1" si="41"/>
        <v>5404.9550580987498</v>
      </c>
      <c r="CK51" s="63">
        <f t="shared" ca="1" si="42"/>
        <v>2.1979280656342728E-4</v>
      </c>
      <c r="CL51" s="63">
        <f t="shared" ca="1" si="48"/>
        <v>113127.49894315308</v>
      </c>
      <c r="CO51" s="63">
        <f t="shared" ca="1" si="43"/>
        <v>78.007192549469181</v>
      </c>
      <c r="CP51" s="63">
        <f ca="1">SUM($CO$15:CO51)</f>
        <v>1983.9513155807376</v>
      </c>
      <c r="CR51" s="52">
        <f ca="1">EXP(-AVERAGE(CH$15:CH51)*CE51)</f>
        <v>0.86804763309145294</v>
      </c>
      <c r="CT51"/>
      <c r="CU51"/>
      <c r="CV51"/>
      <c r="CW51"/>
      <c r="CX51"/>
      <c r="CY51"/>
      <c r="CZ51"/>
      <c r="DA51"/>
      <c r="DB51"/>
      <c r="DC51"/>
      <c r="DD51"/>
      <c r="DE51"/>
      <c r="DF51"/>
      <c r="DG51"/>
      <c r="DH51"/>
      <c r="DI51"/>
      <c r="DJ51"/>
      <c r="DK51"/>
      <c r="DL51"/>
    </row>
    <row r="52" spans="2:116" ht="15.75" customHeight="1" x14ac:dyDescent="0.2">
      <c r="B52" s="52">
        <v>4</v>
      </c>
      <c r="C52" s="52">
        <f t="shared" ca="1" si="49"/>
        <v>38</v>
      </c>
      <c r="D52" s="71">
        <f t="shared" ca="1" si="16"/>
        <v>46317</v>
      </c>
      <c r="E52" s="71">
        <f t="shared" ca="1" si="50"/>
        <v>46348</v>
      </c>
      <c r="F52" s="72">
        <f t="shared" ca="1" si="51"/>
        <v>31</v>
      </c>
      <c r="G52" s="73">
        <f ca="1">SUM($F$15:F52)/360</f>
        <v>3.213888888888889</v>
      </c>
      <c r="H52" s="74">
        <f t="shared" si="2"/>
        <v>25000000</v>
      </c>
      <c r="I52" s="59">
        <f>IF('Cap Pricer'!$E$22=DataValidation!$C$2,'Cap Pricer'!$E$23,IF('Cap Pricer'!$E$22=DataValidation!$C$3,VLOOKUP($B52,'Cap Pricer'!$C$25:$E$31,3),""))</f>
        <v>0.02</v>
      </c>
      <c r="J52" s="57">
        <f>Volatilities_Resets!$E41*0.01</f>
        <v>3.73473E-2</v>
      </c>
      <c r="K52" s="61">
        <f>IF(I52=L$11,Volatilities_Resets!$AA41,IF(I52&gt;=K$11,IF(I52&lt;L$11,(((Volatilities_Resets!$AA41-Volatilities_Resets!$Y41)/50)*((Calculator!I52-Calculator!K$11)*10000)+Volatilities_Resets!$Y41)),IF(I52&gt;=K$10,IF(I52&lt;L$10,(((Volatilities_Resets!$Y41-Volatilities_Resets!$W41)/50)*((Calculator!I52-Calculator!K$10)*10000)+Volatilities_Resets!$W41)),IF(I52&gt;=K$9,IF(I52&lt;L$9,(((Volatilities_Resets!$W41-Volatilities_Resets!$U41)/50)*((Calculator!I52-Calculator!K$9)*10000)+Volatilities_Resets!$U41)),IF(I52&gt;=K$8,IF(I52&lt;L$8,(((Volatilities_Resets!$U41-Volatilities_Resets!$S41)/50)*((Calculator!I52-Calculator!K$8)*10000)+Volatilities_Resets!$S41)),IF(I52&gt;=K$7,IF(I52&lt;L$7,(((Volatilities_Resets!$S41-Volatilities_Resets!$Q41)/50)*((Calculator!I52-Calculator!K$7)*10000)+Volatilities_Resets!$Q41)),IF(I52&gt;=K$6,IF(I52&lt;L$6,(((Volatilities_Resets!$Q41-Volatilities_Resets!$O41)/50)*((Calculator!I52-Calculator!K$6)*10000)+Volatilities_Resets!$O41)),IF(I52&gt;=K$5,IF(I52&lt;L$5,(((Volatilities_Resets!$O41-Volatilities_Resets!$M41)/50)*((Calculator!I52-Calculator!K$5)*10000)+Volatilities_Resets!$M41)),IF(I52&gt;=K$4,IF(I52&lt;L$4,(((Volatilities_Resets!$M41-Volatilities_Resets!$K41)/50)*((Calculator!I52-Calculator!K$4)*10000)+Volatilities_Resets!$K41)),IF(I52&gt;=K$3,IF(I52&lt;L$3,(((Volatilities_Resets!$K41-Volatilities_Resets!$I41)/50)*((Calculator!I52-Calculator!K$3)*10000)+Volatilities_Resets!$I41)),IF(I52&gt;=K$2,IF(I52&lt;L$2,(((Volatilities_Resets!$I41-Volatilities_Resets!$G41)/50)*((Calculator!I52-Calculator!K$2)*10000)+Volatilities_Resets!$G41)),"Well, something broke...")))))))))))/10000</f>
        <v>1.3184999999999999E-2</v>
      </c>
      <c r="L52" s="47">
        <f t="shared" ca="1" si="17"/>
        <v>38250.156314073545</v>
      </c>
      <c r="M52" s="63">
        <f t="shared" ca="1" si="18"/>
        <v>1.5340852153872095E-3</v>
      </c>
      <c r="N52" s="63">
        <f t="shared" ca="1" si="44"/>
        <v>2045197.5709138124</v>
      </c>
      <c r="Q52" s="63">
        <f t="shared" ca="1" si="19"/>
        <v>88.233061949730839</v>
      </c>
      <c r="R52" s="63">
        <f ca="1">SUM($Q$15:Q52)</f>
        <v>1996.3214519140568</v>
      </c>
      <c r="T52" s="52">
        <f ca="1">EXP(-AVERAGE(J$15:J52)*G52)</f>
        <v>0.86524997408451232</v>
      </c>
      <c r="U52" s="57"/>
      <c r="V52" s="52">
        <f t="shared" ca="1" si="20"/>
        <v>38</v>
      </c>
      <c r="W52" s="71">
        <f t="shared" ca="1" si="21"/>
        <v>46317</v>
      </c>
      <c r="X52" s="71">
        <f t="shared" ca="1" si="3"/>
        <v>46348</v>
      </c>
      <c r="Y52" s="72">
        <f t="shared" ca="1" si="4"/>
        <v>31</v>
      </c>
      <c r="Z52" s="73">
        <f ca="1">SUM(Y$15:Y52)/360</f>
        <v>3.213888888888889</v>
      </c>
      <c r="AA52" s="74">
        <f t="shared" si="22"/>
        <v>25000000</v>
      </c>
      <c r="AB52" s="59">
        <f t="shared" si="23"/>
        <v>0.03</v>
      </c>
      <c r="AC52" s="57">
        <f>Volatilities_Resets!$E41*0.01</f>
        <v>3.73473E-2</v>
      </c>
      <c r="AD52" s="61">
        <f>IF(AB52=AE$11,Volatilities_Resets!$AA41,IF(AB52&gt;=AD$11,IF(AB52&lt;AE$11,(((Volatilities_Resets!$AA41-Volatilities_Resets!$Y41)/50)*((Calculator!AB52-Calculator!AD$11)*10000)+Volatilities_Resets!$Y41)),IF(AB52&gt;=AD$10,IF(AB52&lt;AE$10,(((Volatilities_Resets!$Y41-Volatilities_Resets!$W41)/50)*((Calculator!AB52-Calculator!AD$10)*10000)+Volatilities_Resets!$W41)),IF(AB52&gt;=AD$9,IF(AB52&lt;AE$9,(((Volatilities_Resets!$W41-Volatilities_Resets!$U41)/50)*((Calculator!AB52-Calculator!AD$9)*10000)+Volatilities_Resets!$U41)),IF(AB52&gt;=AD$8,IF(AB52&lt;AE$8,(((Volatilities_Resets!$U41-Volatilities_Resets!$S41)/50)*((Calculator!AB52-Calculator!AD$8)*10000)+Volatilities_Resets!$S41)),IF(AB52&gt;=AD$7,IF(AB52&lt;AE$7,(((Volatilities_Resets!$S41-Volatilities_Resets!$Q41)/50)*((Calculator!AB52-Calculator!AD$7)*10000)+Volatilities_Resets!$Q41)),IF(AB52&gt;=AD$6,IF(AB52&lt;AE$6,(((Volatilities_Resets!$Q41-Volatilities_Resets!$O41)/50)*((Calculator!AB52-Calculator!AD$6)*10000)+Volatilities_Resets!$O41)),IF(AB52&gt;=AD$5,IF(AB52&lt;AE$5,(((Volatilities_Resets!$O41-Volatilities_Resets!$M41)/50)*((Calculator!AB52-Calculator!AD$5)*10000)+Volatilities_Resets!$M41)),IF(AB52&gt;=AD$4,IF(AB52&lt;AE$4,(((Volatilities_Resets!$M41-Volatilities_Resets!$K41)/50)*((Calculator!AB52-Calculator!AD$4)*10000)+Volatilities_Resets!$K41)),IF(AB52&gt;=AD$3,IF(AB52&lt;AE$3,(((Volatilities_Resets!$K41-Volatilities_Resets!$I41)/50)*((Calculator!AB52-Calculator!AD$3)*10000)+Volatilities_Resets!$I41)),IF(AB52&gt;=AD$2,IF(AB52&lt;AE$2,(((Volatilities_Resets!$I41-Volatilities_Resets!$G41)/50)*((Calculator!AB52-Calculator!AD$2)*10000)+Volatilities_Resets!$G41)),"Well, something broke...")))))))))))/10000</f>
        <v>1.3196000000000001E-2</v>
      </c>
      <c r="AE52" s="63">
        <f t="shared" ca="1" si="24"/>
        <v>25263.557989885263</v>
      </c>
      <c r="AF52" s="63">
        <f t="shared" ca="1" si="25"/>
        <v>1.0156220205947181E-3</v>
      </c>
      <c r="AG52" s="63">
        <f t="shared" ca="1" si="45"/>
        <v>1409423.6875231967</v>
      </c>
      <c r="AJ52" s="63">
        <f t="shared" ca="1" si="26"/>
        <v>109.88027895019701</v>
      </c>
      <c r="AK52" s="63">
        <f ca="1">SUM($AJ$15:AJ52)</f>
        <v>2488.2352127272338</v>
      </c>
      <c r="AM52" s="52">
        <f ca="1">EXP(-AVERAGE(AC$15:AC52)*Z52)</f>
        <v>0.86524997408451232</v>
      </c>
      <c r="AO52" s="52">
        <f t="shared" ca="1" si="27"/>
        <v>38</v>
      </c>
      <c r="AP52" s="71">
        <f t="shared" ca="1" si="28"/>
        <v>46317</v>
      </c>
      <c r="AQ52" s="71">
        <f t="shared" ca="1" si="5"/>
        <v>46348</v>
      </c>
      <c r="AR52" s="72">
        <f t="shared" ca="1" si="6"/>
        <v>31</v>
      </c>
      <c r="AS52" s="73">
        <f ca="1">SUM(AR$15:AR52)/360</f>
        <v>3.213888888888889</v>
      </c>
      <c r="AT52" s="74">
        <f t="shared" si="7"/>
        <v>25000000</v>
      </c>
      <c r="AU52" s="59">
        <f t="shared" si="29"/>
        <v>0.04</v>
      </c>
      <c r="AV52" s="57">
        <f>Volatilities_Resets!$E41*0.01</f>
        <v>3.73473E-2</v>
      </c>
      <c r="AW52" s="61">
        <f>IF(AU52=AX$11,Volatilities_Resets!$AA41,IF(AU52&gt;=AW$11,IF(AU52&lt;AX$11,(((Volatilities_Resets!$AA41-Volatilities_Resets!$Y41)/50)*((Calculator!AU52-Calculator!AW$11)*10000)+Volatilities_Resets!$Y41)),IF(AU52&gt;=AW$10,IF(AU52&lt;AX$10,(((Volatilities_Resets!$Y41-Volatilities_Resets!$W41)/50)*((Calculator!AU52-Calculator!AW$10)*10000)+Volatilities_Resets!$W41)),IF(AU52&gt;=AW$9,IF(AU52&lt;AX$9,(((Volatilities_Resets!$W41-Volatilities_Resets!$U41)/50)*((Calculator!AU52-Calculator!AW$9)*10000)+Volatilities_Resets!$U41)),IF(AU52&gt;=AW$8,IF(AU52&lt;AX$8,(((Volatilities_Resets!$U41-Volatilities_Resets!$S41)/50)*((Calculator!AU52-Calculator!AW$8)*10000)+Volatilities_Resets!$S41)),IF(AU52&gt;=AW$7,IF(AU52&lt;AX$7,(((Volatilities_Resets!$S41-Volatilities_Resets!$Q41)/50)*((Calculator!AU52-Calculator!AW$7)*10000)+Volatilities_Resets!$Q41)),IF(AU52&gt;=AW$6,IF(AU52&lt;AX$6,(((Volatilities_Resets!$Q41-Volatilities_Resets!$O41)/50)*((Calculator!AU52-Calculator!AW$6)*10000)+Volatilities_Resets!$O41)),IF(AU52&gt;=AW$5,IF(AU52&lt;AX$5,(((Volatilities_Resets!$O41-Volatilities_Resets!$M41)/50)*((Calculator!AU52-Calculator!AW$5)*10000)+Volatilities_Resets!$M41)),IF(AU52&gt;=AW$4,IF(AU52&lt;AX$4,(((Volatilities_Resets!$M41-Volatilities_Resets!$K41)/50)*((Calculator!AU52-Calculator!AW$4)*10000)+Volatilities_Resets!$K41)),IF(AU52&gt;=AW$3,IF(AU52&lt;AX$3,(((Volatilities_Resets!$K41-Volatilities_Resets!$I41)/50)*((Calculator!AU52-Calculator!AW$3)*10000)+Volatilities_Resets!$I41)),IF(AU52&gt;=AW$2,IF(AU52&lt;AX$2,(((Volatilities_Resets!$I41-Volatilities_Resets!$G41)/50)*((Calculator!AU52-Calculator!AW$2)*10000)+Volatilities_Resets!$G41)),"Well, something broke...")))))))))))/10000</f>
        <v>1.3521999999999999E-2</v>
      </c>
      <c r="AX52" s="63">
        <f t="shared" ca="1" si="30"/>
        <v>15651.04577994988</v>
      </c>
      <c r="AY52" s="63">
        <f t="shared" ca="1" si="31"/>
        <v>6.3133901576700225E-4</v>
      </c>
      <c r="AZ52" s="63">
        <f t="shared" ca="1" si="46"/>
        <v>821326.02283941279</v>
      </c>
      <c r="BC52" s="63">
        <f t="shared" ca="1" si="8"/>
        <v>114.58472027635514</v>
      </c>
      <c r="BD52" s="63">
        <f ca="1">SUM($BC$15:BC52)</f>
        <v>2830.143908150515</v>
      </c>
      <c r="BF52" s="52">
        <f ca="1">EXP(-AVERAGE(AV$15:AV52)*AS52)</f>
        <v>0.86524997408451232</v>
      </c>
      <c r="BH52" s="52">
        <f t="shared" ca="1" si="32"/>
        <v>38</v>
      </c>
      <c r="BI52" s="71">
        <f t="shared" ca="1" si="33"/>
        <v>46317</v>
      </c>
      <c r="BJ52" s="71">
        <f t="shared" ca="1" si="9"/>
        <v>46348</v>
      </c>
      <c r="BK52" s="72">
        <f t="shared" ca="1" si="10"/>
        <v>31</v>
      </c>
      <c r="BL52" s="73">
        <f ca="1">SUM(BK$15:BK52)/360</f>
        <v>3.213888888888889</v>
      </c>
      <c r="BM52" s="74">
        <f t="shared" si="11"/>
        <v>25000000</v>
      </c>
      <c r="BN52" s="59">
        <f t="shared" si="34"/>
        <v>0.05</v>
      </c>
      <c r="BO52" s="57">
        <f>Volatilities_Resets!$E41*0.01</f>
        <v>3.73473E-2</v>
      </c>
      <c r="BP52" s="61">
        <f>IF(BN52=BQ$11,Volatilities_Resets!$AA41,IF(BN52&gt;=BP$11,IF(BN52&lt;BQ$11,(((Volatilities_Resets!$AA41-Volatilities_Resets!$Y41)/50)*((Calculator!BN52-Calculator!BP$11)*10000)+Volatilities_Resets!$Y41)),IF(BN52&gt;=BP$10,IF(BN52&lt;BQ$10,(((Volatilities_Resets!$Y41-Volatilities_Resets!$W41)/50)*((Calculator!BN52-Calculator!BP$10)*10000)+Volatilities_Resets!$W41)),IF(BN52&gt;=BP$9,IF(BN52&lt;BQ$9,(((Volatilities_Resets!$W41-Volatilities_Resets!$U41)/50)*((Calculator!BN52-Calculator!BP$9)*10000)+Volatilities_Resets!$U41)),IF(BN52&gt;=BP$8,IF(BN52&lt;BQ$8,(((Volatilities_Resets!$U41-Volatilities_Resets!$S41)/50)*((Calculator!BN52-Calculator!BP$8)*10000)+Volatilities_Resets!$S41)),IF(BN52&gt;=BP$7,IF(BN52&lt;BQ$7,(((Volatilities_Resets!$S41-Volatilities_Resets!$Q41)/50)*((Calculator!BN52-Calculator!BP$7)*10000)+Volatilities_Resets!$Q41)),IF(BN52&gt;=BP$6,IF(BN52&lt;BQ$6,(((Volatilities_Resets!$Q41-Volatilities_Resets!$O41)/50)*((Calculator!BN52-Calculator!BP$6)*10000)+Volatilities_Resets!$O41)),IF(BN52&gt;=BP$5,IF(BN52&lt;BQ$5,(((Volatilities_Resets!$O41-Volatilities_Resets!$M41)/50)*((Calculator!BN52-Calculator!BP$5)*10000)+Volatilities_Resets!$M41)),IF(BN52&gt;=BP$4,IF(BN52&lt;BQ$4,(((Volatilities_Resets!$M41-Volatilities_Resets!$K41)/50)*((Calculator!BN52-Calculator!BP$4)*10000)+Volatilities_Resets!$K41)),IF(BN52&gt;=BP$3,IF(BN52&lt;BQ$3,(((Volatilities_Resets!$K41-Volatilities_Resets!$I41)/50)*((Calculator!BN52-Calculator!BP$3)*10000)+Volatilities_Resets!$I41)),IF(BN52&gt;=BP$2,IF(BN52&lt;BQ$2,(((Volatilities_Resets!$I41-Volatilities_Resets!$G41)/50)*((Calculator!BN52-Calculator!BP$2)*10000)+Volatilities_Resets!$G41)),"Well, something broke...")))))))))))/10000</f>
        <v>1.4177E-2</v>
      </c>
      <c r="BQ52" s="63">
        <f t="shared" ca="1" si="35"/>
        <v>9395.6500976070183</v>
      </c>
      <c r="BR52" s="63">
        <f t="shared" ca="1" si="36"/>
        <v>3.8053779551824955E-4</v>
      </c>
      <c r="BS52" s="63">
        <f t="shared" ca="1" si="47"/>
        <v>352200.35526691074</v>
      </c>
      <c r="BV52" s="63">
        <f t="shared" ca="1" si="37"/>
        <v>101.92193929695397</v>
      </c>
      <c r="BW52" s="63">
        <f ca="1">SUM($BV$15:BV52)</f>
        <v>2919.5446359862331</v>
      </c>
      <c r="BY52" s="52">
        <f ca="1">EXP(-AVERAGE(BO$15:BO52)*BL52)</f>
        <v>0.86524997408451232</v>
      </c>
      <c r="CA52" s="52">
        <f t="shared" ca="1" si="38"/>
        <v>38</v>
      </c>
      <c r="CB52" s="71">
        <f t="shared" ca="1" si="39"/>
        <v>46317</v>
      </c>
      <c r="CC52" s="71">
        <f t="shared" ca="1" si="12"/>
        <v>46348</v>
      </c>
      <c r="CD52" s="72">
        <f t="shared" ca="1" si="13"/>
        <v>31</v>
      </c>
      <c r="CE52" s="73">
        <f ca="1">SUM(CD$15:CD52)/360</f>
        <v>3.213888888888889</v>
      </c>
      <c r="CF52" s="74">
        <f t="shared" si="14"/>
        <v>25000000</v>
      </c>
      <c r="CG52" s="59">
        <f t="shared" si="40"/>
        <v>0.06</v>
      </c>
      <c r="CH52" s="57">
        <f>Volatilities_Resets!$E41*0.01</f>
        <v>3.73473E-2</v>
      </c>
      <c r="CI52" s="61">
        <f>IF(CG52=CJ$11,Volatilities_Resets!$AA41,IF(CG52&gt;=CI$11,IF(CG52&lt;CJ$11,(((Volatilities_Resets!$AA41-Volatilities_Resets!$Y41)/50)*((Calculator!CG52-Calculator!CI$11)*10000)+Volatilities_Resets!$Y41)),IF(CG52&gt;=CI$10,IF(CG52&lt;CJ$10,(((Volatilities_Resets!$Y41-Volatilities_Resets!$W41)/50)*((Calculator!CG52-Calculator!CI$10)*10000)+Volatilities_Resets!$W41)),IF(CG52&gt;=CI$9,IF(CG52&lt;CJ$9,(((Volatilities_Resets!$W41-Volatilities_Resets!$U41)/50)*((Calculator!CG52-Calculator!CI$9)*10000)+Volatilities_Resets!$U41)),IF(CG52&gt;=CI$8,IF(CG52&lt;CJ$8,(((Volatilities_Resets!$U41-Volatilities_Resets!$S41)/50)*((Calculator!CG52-Calculator!CI$8)*10000)+Volatilities_Resets!$S41)),IF(CG52&gt;=CI$7,IF(CG52&lt;CJ$7,(((Volatilities_Resets!$S41-Volatilities_Resets!$Q41)/50)*((Calculator!CG52-Calculator!CI$7)*10000)+Volatilities_Resets!$Q41)),IF(CG52&gt;=CI$6,IF(CG52&lt;CJ$6,(((Volatilities_Resets!$Q41-Volatilities_Resets!$O41)/50)*((Calculator!CG52-Calculator!CI$6)*10000)+Volatilities_Resets!$O41)),IF(CG52&gt;=CI$5,IF(CG52&lt;CJ$5,(((Volatilities_Resets!$O41-Volatilities_Resets!$M41)/50)*((Calculator!CG52-Calculator!CI$5)*10000)+Volatilities_Resets!$M41)),IF(CG52&gt;=CI$4,IF(CG52&lt;CJ$4,(((Volatilities_Resets!$M41-Volatilities_Resets!$K41)/50)*((Calculator!CG52-Calculator!CI$4)*10000)+Volatilities_Resets!$K41)),IF(CG52&gt;=CI$3,IF(CG52&lt;CJ$3,(((Volatilities_Resets!$K41-Volatilities_Resets!$I41)/50)*((Calculator!CG52-Calculator!CI$3)*10000)+Volatilities_Resets!$I41)),IF(CG52&gt;=CI$2,IF(CG52&lt;CJ$2,(((Volatilities_Resets!$I41-Volatilities_Resets!$G41)/50)*((Calculator!CG52-Calculator!CI$2)*10000)+Volatilities_Resets!$G41)),"Well, something broke...")))))))))))/10000</f>
        <v>1.5096E-2</v>
      </c>
      <c r="CJ52" s="63">
        <f t="shared" ca="1" si="41"/>
        <v>5674.079435212152</v>
      </c>
      <c r="CK52" s="63">
        <f t="shared" ca="1" si="42"/>
        <v>2.3072578706464475E-4</v>
      </c>
      <c r="CL52" s="63">
        <f t="shared" ca="1" si="48"/>
        <v>118801.57837836523</v>
      </c>
      <c r="CO52" s="63">
        <f t="shared" ca="1" si="43"/>
        <v>81.389947687035885</v>
      </c>
      <c r="CP52" s="63">
        <f ca="1">SUM($CO$15:CO52)</f>
        <v>2065.3412632677737</v>
      </c>
      <c r="CR52" s="52">
        <f ca="1">EXP(-AVERAGE(CH$15:CH52)*CE52)</f>
        <v>0.86524997408451232</v>
      </c>
      <c r="CT52"/>
      <c r="CU52"/>
      <c r="CV52"/>
      <c r="CW52"/>
      <c r="CX52"/>
      <c r="CY52"/>
      <c r="CZ52"/>
      <c r="DA52"/>
      <c r="DB52"/>
      <c r="DC52"/>
      <c r="DD52"/>
      <c r="DE52"/>
      <c r="DF52"/>
      <c r="DG52"/>
      <c r="DH52"/>
      <c r="DI52"/>
      <c r="DJ52"/>
      <c r="DK52"/>
      <c r="DL52"/>
    </row>
    <row r="53" spans="2:116" ht="15.75" customHeight="1" x14ac:dyDescent="0.2">
      <c r="B53" s="52">
        <v>4</v>
      </c>
      <c r="C53" s="52">
        <f t="shared" ca="1" si="49"/>
        <v>39</v>
      </c>
      <c r="D53" s="71">
        <f t="shared" ca="1" si="16"/>
        <v>46348</v>
      </c>
      <c r="E53" s="71">
        <f t="shared" ca="1" si="50"/>
        <v>46378</v>
      </c>
      <c r="F53" s="72">
        <f t="shared" ca="1" si="51"/>
        <v>30</v>
      </c>
      <c r="G53" s="73">
        <f ca="1">SUM($F$15:F53)/360</f>
        <v>3.2972222222222221</v>
      </c>
      <c r="H53" s="74">
        <f t="shared" si="2"/>
        <v>25000000</v>
      </c>
      <c r="I53" s="59">
        <f>IF('Cap Pricer'!$E$22=DataValidation!$C$2,'Cap Pricer'!$E$23,IF('Cap Pricer'!$E$22=DataValidation!$C$3,VLOOKUP($B53,'Cap Pricer'!$C$25:$E$31,3),""))</f>
        <v>0.02</v>
      </c>
      <c r="J53" s="57">
        <f>Volatilities_Resets!$E42*0.01</f>
        <v>3.7349300000000002E-2</v>
      </c>
      <c r="K53" s="61">
        <f>IF(I53=L$11,Volatilities_Resets!$AA42,IF(I53&gt;=K$11,IF(I53&lt;L$11,(((Volatilities_Resets!$AA42-Volatilities_Resets!$Y42)/50)*((Calculator!I53-Calculator!K$11)*10000)+Volatilities_Resets!$Y42)),IF(I53&gt;=K$10,IF(I53&lt;L$10,(((Volatilities_Resets!$Y42-Volatilities_Resets!$W42)/50)*((Calculator!I53-Calculator!K$10)*10000)+Volatilities_Resets!$W42)),IF(I53&gt;=K$9,IF(I53&lt;L$9,(((Volatilities_Resets!$W42-Volatilities_Resets!$U42)/50)*((Calculator!I53-Calculator!K$9)*10000)+Volatilities_Resets!$U42)),IF(I53&gt;=K$8,IF(I53&lt;L$8,(((Volatilities_Resets!$U42-Volatilities_Resets!$S42)/50)*((Calculator!I53-Calculator!K$8)*10000)+Volatilities_Resets!$S42)),IF(I53&gt;=K$7,IF(I53&lt;L$7,(((Volatilities_Resets!$S42-Volatilities_Resets!$Q42)/50)*((Calculator!I53-Calculator!K$7)*10000)+Volatilities_Resets!$Q42)),IF(I53&gt;=K$6,IF(I53&lt;L$6,(((Volatilities_Resets!$Q42-Volatilities_Resets!$O42)/50)*((Calculator!I53-Calculator!K$6)*10000)+Volatilities_Resets!$O42)),IF(I53&gt;=K$5,IF(I53&lt;L$5,(((Volatilities_Resets!$O42-Volatilities_Resets!$M42)/50)*((Calculator!I53-Calculator!K$5)*10000)+Volatilities_Resets!$M42)),IF(I53&gt;=K$4,IF(I53&lt;L$4,(((Volatilities_Resets!$M42-Volatilities_Resets!$K42)/50)*((Calculator!I53-Calculator!K$4)*10000)+Volatilities_Resets!$K42)),IF(I53&gt;=K$3,IF(I53&lt;L$3,(((Volatilities_Resets!$K42-Volatilities_Resets!$I42)/50)*((Calculator!I53-Calculator!K$3)*10000)+Volatilities_Resets!$I42)),IF(I53&gt;=K$2,IF(I53&lt;L$2,(((Volatilities_Resets!$I42-Volatilities_Resets!$G42)/50)*((Calculator!I53-Calculator!K$2)*10000)+Volatilities_Resets!$G42)),"Well, something broke...")))))))))))/10000</f>
        <v>1.3186000000000002E-2</v>
      </c>
      <c r="L53" s="47">
        <f t="shared" ca="1" si="17"/>
        <v>37072.669090030133</v>
      </c>
      <c r="M53" s="63">
        <f t="shared" ca="1" si="18"/>
        <v>1.4869195404615906E-3</v>
      </c>
      <c r="N53" s="63">
        <f t="shared" ca="1" si="44"/>
        <v>2082270.2400038424</v>
      </c>
      <c r="Q53" s="63">
        <f t="shared" ca="1" si="19"/>
        <v>86.532437888334215</v>
      </c>
      <c r="R53" s="63">
        <f ca="1">SUM($Q$15:Q53)</f>
        <v>2082.8538898023908</v>
      </c>
      <c r="T53" s="52">
        <f ca="1">EXP(-AVERAGE(J$15:J53)*G53)</f>
        <v>0.86256914749079527</v>
      </c>
      <c r="U53" s="57"/>
      <c r="V53" s="52">
        <f t="shared" ca="1" si="20"/>
        <v>39</v>
      </c>
      <c r="W53" s="71">
        <f t="shared" ca="1" si="21"/>
        <v>46348</v>
      </c>
      <c r="X53" s="71">
        <f t="shared" ca="1" si="3"/>
        <v>46378</v>
      </c>
      <c r="Y53" s="72">
        <f t="shared" ca="1" si="4"/>
        <v>30</v>
      </c>
      <c r="Z53" s="73">
        <f ca="1">SUM(Y$15:Y53)/360</f>
        <v>3.2972222222222221</v>
      </c>
      <c r="AA53" s="74">
        <f t="shared" si="22"/>
        <v>25000000</v>
      </c>
      <c r="AB53" s="59">
        <f t="shared" si="23"/>
        <v>0.03</v>
      </c>
      <c r="AC53" s="57">
        <f>Volatilities_Resets!$E42*0.01</f>
        <v>3.7349300000000002E-2</v>
      </c>
      <c r="AD53" s="61">
        <f>IF(AB53=AE$11,Volatilities_Resets!$AA42,IF(AB53&gt;=AD$11,IF(AB53&lt;AE$11,(((Volatilities_Resets!$AA42-Volatilities_Resets!$Y42)/50)*((Calculator!AB53-Calculator!AD$11)*10000)+Volatilities_Resets!$Y42)),IF(AB53&gt;=AD$10,IF(AB53&lt;AE$10,(((Volatilities_Resets!$Y42-Volatilities_Resets!$W42)/50)*((Calculator!AB53-Calculator!AD$10)*10000)+Volatilities_Resets!$W42)),IF(AB53&gt;=AD$9,IF(AB53&lt;AE$9,(((Volatilities_Resets!$W42-Volatilities_Resets!$U42)/50)*((Calculator!AB53-Calculator!AD$9)*10000)+Volatilities_Resets!$U42)),IF(AB53&gt;=AD$8,IF(AB53&lt;AE$8,(((Volatilities_Resets!$U42-Volatilities_Resets!$S42)/50)*((Calculator!AB53-Calculator!AD$8)*10000)+Volatilities_Resets!$S42)),IF(AB53&gt;=AD$7,IF(AB53&lt;AE$7,(((Volatilities_Resets!$S42-Volatilities_Resets!$Q42)/50)*((Calculator!AB53-Calculator!AD$7)*10000)+Volatilities_Resets!$Q42)),IF(AB53&gt;=AD$6,IF(AB53&lt;AE$6,(((Volatilities_Resets!$Q42-Volatilities_Resets!$O42)/50)*((Calculator!AB53-Calculator!AD$6)*10000)+Volatilities_Resets!$O42)),IF(AB53&gt;=AD$5,IF(AB53&lt;AE$5,(((Volatilities_Resets!$O42-Volatilities_Resets!$M42)/50)*((Calculator!AB53-Calculator!AD$5)*10000)+Volatilities_Resets!$M42)),IF(AB53&gt;=AD$4,IF(AB53&lt;AE$4,(((Volatilities_Resets!$M42-Volatilities_Resets!$K42)/50)*((Calculator!AB53-Calculator!AD$4)*10000)+Volatilities_Resets!$K42)),IF(AB53&gt;=AD$3,IF(AB53&lt;AE$3,(((Volatilities_Resets!$K42-Volatilities_Resets!$I42)/50)*((Calculator!AB53-Calculator!AD$3)*10000)+Volatilities_Resets!$I42)),IF(AB53&gt;=AD$2,IF(AB53&lt;AE$2,(((Volatilities_Resets!$I42-Volatilities_Resets!$G42)/50)*((Calculator!AB53-Calculator!AD$2)*10000)+Volatilities_Resets!$G42)),"Well, something broke...")))))))))))/10000</f>
        <v>1.3196000000000001E-2</v>
      </c>
      <c r="AE53" s="63">
        <f t="shared" ca="1" si="24"/>
        <v>24583.395053373402</v>
      </c>
      <c r="AF53" s="63">
        <f t="shared" ca="1" si="25"/>
        <v>9.8830542094366413E-4</v>
      </c>
      <c r="AG53" s="63">
        <f t="shared" ca="1" si="45"/>
        <v>1434007.0825765701</v>
      </c>
      <c r="AJ53" s="63">
        <f t="shared" ca="1" si="26"/>
        <v>107.16599647996978</v>
      </c>
      <c r="AK53" s="63">
        <f ca="1">SUM($AJ$15:AJ53)</f>
        <v>2595.4012092072035</v>
      </c>
      <c r="AM53" s="52">
        <f ca="1">EXP(-AVERAGE(AC$15:AC53)*Z53)</f>
        <v>0.86256914749079527</v>
      </c>
      <c r="AO53" s="52">
        <f t="shared" ca="1" si="27"/>
        <v>39</v>
      </c>
      <c r="AP53" s="71">
        <f t="shared" ca="1" si="28"/>
        <v>46348</v>
      </c>
      <c r="AQ53" s="71">
        <f t="shared" ca="1" si="5"/>
        <v>46378</v>
      </c>
      <c r="AR53" s="72">
        <f t="shared" ca="1" si="6"/>
        <v>30</v>
      </c>
      <c r="AS53" s="73">
        <f ca="1">SUM(AR$15:AR53)/360</f>
        <v>3.2972222222222221</v>
      </c>
      <c r="AT53" s="74">
        <f t="shared" si="7"/>
        <v>25000000</v>
      </c>
      <c r="AU53" s="59">
        <f t="shared" si="29"/>
        <v>0.04</v>
      </c>
      <c r="AV53" s="57">
        <f>Volatilities_Resets!$E42*0.01</f>
        <v>3.7349300000000002E-2</v>
      </c>
      <c r="AW53" s="61">
        <f>IF(AU53=AX$11,Volatilities_Resets!$AA42,IF(AU53&gt;=AW$11,IF(AU53&lt;AX$11,(((Volatilities_Resets!$AA42-Volatilities_Resets!$Y42)/50)*((Calculator!AU53-Calculator!AW$11)*10000)+Volatilities_Resets!$Y42)),IF(AU53&gt;=AW$10,IF(AU53&lt;AX$10,(((Volatilities_Resets!$Y42-Volatilities_Resets!$W42)/50)*((Calculator!AU53-Calculator!AW$10)*10000)+Volatilities_Resets!$W42)),IF(AU53&gt;=AW$9,IF(AU53&lt;AX$9,(((Volatilities_Resets!$W42-Volatilities_Resets!$U42)/50)*((Calculator!AU53-Calculator!AW$9)*10000)+Volatilities_Resets!$U42)),IF(AU53&gt;=AW$8,IF(AU53&lt;AX$8,(((Volatilities_Resets!$U42-Volatilities_Resets!$S42)/50)*((Calculator!AU53-Calculator!AW$8)*10000)+Volatilities_Resets!$S42)),IF(AU53&gt;=AW$7,IF(AU53&lt;AX$7,(((Volatilities_Resets!$S42-Volatilities_Resets!$Q42)/50)*((Calculator!AU53-Calculator!AW$7)*10000)+Volatilities_Resets!$Q42)),IF(AU53&gt;=AW$6,IF(AU53&lt;AX$6,(((Volatilities_Resets!$Q42-Volatilities_Resets!$O42)/50)*((Calculator!AU53-Calculator!AW$6)*10000)+Volatilities_Resets!$O42)),IF(AU53&gt;=AW$5,IF(AU53&lt;AX$5,(((Volatilities_Resets!$O42-Volatilities_Resets!$M42)/50)*((Calculator!AU53-Calculator!AW$5)*10000)+Volatilities_Resets!$M42)),IF(AU53&gt;=AW$4,IF(AU53&lt;AX$4,(((Volatilities_Resets!$M42-Volatilities_Resets!$K42)/50)*((Calculator!AU53-Calculator!AW$4)*10000)+Volatilities_Resets!$K42)),IF(AU53&gt;=AW$3,IF(AU53&lt;AX$3,(((Volatilities_Resets!$K42-Volatilities_Resets!$I42)/50)*((Calculator!AU53-Calculator!AW$3)*10000)+Volatilities_Resets!$I42)),IF(AU53&gt;=AW$2,IF(AU53&lt;AX$2,(((Volatilities_Resets!$I42-Volatilities_Resets!$G42)/50)*((Calculator!AU53-Calculator!AW$2)*10000)+Volatilities_Resets!$G42)),"Well, something broke...")))))))))))/10000</f>
        <v>1.3521E-2</v>
      </c>
      <c r="AX53" s="63">
        <f t="shared" ca="1" si="30"/>
        <v>15322.140725815325</v>
      </c>
      <c r="AY53" s="63">
        <f t="shared" ca="1" si="31"/>
        <v>6.1806270251875644E-4</v>
      </c>
      <c r="AZ53" s="63">
        <f t="shared" ca="1" si="46"/>
        <v>836648.16356522811</v>
      </c>
      <c r="BC53" s="63">
        <f t="shared" ca="1" si="8"/>
        <v>111.63959658599943</v>
      </c>
      <c r="BD53" s="63">
        <f ca="1">SUM($BC$15:BC53)</f>
        <v>2941.7835047365143</v>
      </c>
      <c r="BF53" s="52">
        <f ca="1">EXP(-AVERAGE(AV$15:AV53)*AS53)</f>
        <v>0.86256914749079527</v>
      </c>
      <c r="BH53" s="52">
        <f t="shared" ca="1" si="32"/>
        <v>39</v>
      </c>
      <c r="BI53" s="71">
        <f t="shared" ca="1" si="33"/>
        <v>46348</v>
      </c>
      <c r="BJ53" s="71">
        <f t="shared" ca="1" si="9"/>
        <v>46378</v>
      </c>
      <c r="BK53" s="72">
        <f t="shared" ca="1" si="10"/>
        <v>30</v>
      </c>
      <c r="BL53" s="73">
        <f ca="1">SUM(BK$15:BK53)/360</f>
        <v>3.2972222222222221</v>
      </c>
      <c r="BM53" s="74">
        <f t="shared" si="11"/>
        <v>25000000</v>
      </c>
      <c r="BN53" s="59">
        <f t="shared" si="34"/>
        <v>0.05</v>
      </c>
      <c r="BO53" s="57">
        <f>Volatilities_Resets!$E42*0.01</f>
        <v>3.7349300000000002E-2</v>
      </c>
      <c r="BP53" s="61">
        <f>IF(BN53=BQ$11,Volatilities_Resets!$AA42,IF(BN53&gt;=BP$11,IF(BN53&lt;BQ$11,(((Volatilities_Resets!$AA42-Volatilities_Resets!$Y42)/50)*((Calculator!BN53-Calculator!BP$11)*10000)+Volatilities_Resets!$Y42)),IF(BN53&gt;=BP$10,IF(BN53&lt;BQ$10,(((Volatilities_Resets!$Y42-Volatilities_Resets!$W42)/50)*((Calculator!BN53-Calculator!BP$10)*10000)+Volatilities_Resets!$W42)),IF(BN53&gt;=BP$9,IF(BN53&lt;BQ$9,(((Volatilities_Resets!$W42-Volatilities_Resets!$U42)/50)*((Calculator!BN53-Calculator!BP$9)*10000)+Volatilities_Resets!$U42)),IF(BN53&gt;=BP$8,IF(BN53&lt;BQ$8,(((Volatilities_Resets!$U42-Volatilities_Resets!$S42)/50)*((Calculator!BN53-Calculator!BP$8)*10000)+Volatilities_Resets!$S42)),IF(BN53&gt;=BP$7,IF(BN53&lt;BQ$7,(((Volatilities_Resets!$S42-Volatilities_Resets!$Q42)/50)*((Calculator!BN53-Calculator!BP$7)*10000)+Volatilities_Resets!$Q42)),IF(BN53&gt;=BP$6,IF(BN53&lt;BQ$6,(((Volatilities_Resets!$Q42-Volatilities_Resets!$O42)/50)*((Calculator!BN53-Calculator!BP$6)*10000)+Volatilities_Resets!$O42)),IF(BN53&gt;=BP$5,IF(BN53&lt;BQ$5,(((Volatilities_Resets!$O42-Volatilities_Resets!$M42)/50)*((Calculator!BN53-Calculator!BP$5)*10000)+Volatilities_Resets!$M42)),IF(BN53&gt;=BP$4,IF(BN53&lt;BQ$4,(((Volatilities_Resets!$M42-Volatilities_Resets!$K42)/50)*((Calculator!BN53-Calculator!BP$4)*10000)+Volatilities_Resets!$K42)),IF(BN53&gt;=BP$3,IF(BN53&lt;BQ$3,(((Volatilities_Resets!$K42-Volatilities_Resets!$I42)/50)*((Calculator!BN53-Calculator!BP$3)*10000)+Volatilities_Resets!$I42)),IF(BN53&gt;=BP$2,IF(BN53&lt;BQ$2,(((Volatilities_Resets!$I42-Volatilities_Resets!$G42)/50)*((Calculator!BN53-Calculator!BP$2)*10000)+Volatilities_Resets!$G42)),"Well, something broke...")))))))))))/10000</f>
        <v>1.4175999999999999E-2</v>
      </c>
      <c r="BQ53" s="63">
        <f t="shared" ca="1" si="35"/>
        <v>9272.04124933208</v>
      </c>
      <c r="BR53" s="63">
        <f t="shared" ca="1" si="36"/>
        <v>3.7550031453220873E-4</v>
      </c>
      <c r="BS53" s="63">
        <f t="shared" ca="1" si="47"/>
        <v>361472.39651624282</v>
      </c>
      <c r="BV53" s="63">
        <f t="shared" ca="1" si="37"/>
        <v>99.597938778458769</v>
      </c>
      <c r="BW53" s="63">
        <f ca="1">SUM($BV$15:BV53)</f>
        <v>3019.1425747646917</v>
      </c>
      <c r="BY53" s="52">
        <f ca="1">EXP(-AVERAGE(BO$15:BO53)*BL53)</f>
        <v>0.86256914749079527</v>
      </c>
      <c r="CA53" s="52">
        <f t="shared" ca="1" si="38"/>
        <v>39</v>
      </c>
      <c r="CB53" s="71">
        <f t="shared" ca="1" si="39"/>
        <v>46348</v>
      </c>
      <c r="CC53" s="71">
        <f t="shared" ca="1" si="12"/>
        <v>46378</v>
      </c>
      <c r="CD53" s="72">
        <f t="shared" ca="1" si="13"/>
        <v>30</v>
      </c>
      <c r="CE53" s="73">
        <f ca="1">SUM(CD$15:CD53)/360</f>
        <v>3.2972222222222221</v>
      </c>
      <c r="CF53" s="74">
        <f t="shared" si="14"/>
        <v>25000000</v>
      </c>
      <c r="CG53" s="59">
        <f t="shared" si="40"/>
        <v>0.06</v>
      </c>
      <c r="CH53" s="57">
        <f>Volatilities_Resets!$E42*0.01</f>
        <v>3.7349300000000002E-2</v>
      </c>
      <c r="CI53" s="61">
        <f>IF(CG53=CJ$11,Volatilities_Resets!$AA42,IF(CG53&gt;=CI$11,IF(CG53&lt;CJ$11,(((Volatilities_Resets!$AA42-Volatilities_Resets!$Y42)/50)*((Calculator!CG53-Calculator!CI$11)*10000)+Volatilities_Resets!$Y42)),IF(CG53&gt;=CI$10,IF(CG53&lt;CJ$10,(((Volatilities_Resets!$Y42-Volatilities_Resets!$W42)/50)*((Calculator!CG53-Calculator!CI$10)*10000)+Volatilities_Resets!$W42)),IF(CG53&gt;=CI$9,IF(CG53&lt;CJ$9,(((Volatilities_Resets!$W42-Volatilities_Resets!$U42)/50)*((Calculator!CG53-Calculator!CI$9)*10000)+Volatilities_Resets!$U42)),IF(CG53&gt;=CI$8,IF(CG53&lt;CJ$8,(((Volatilities_Resets!$U42-Volatilities_Resets!$S42)/50)*((Calculator!CG53-Calculator!CI$8)*10000)+Volatilities_Resets!$S42)),IF(CG53&gt;=CI$7,IF(CG53&lt;CJ$7,(((Volatilities_Resets!$S42-Volatilities_Resets!$Q42)/50)*((Calculator!CG53-Calculator!CI$7)*10000)+Volatilities_Resets!$Q42)),IF(CG53&gt;=CI$6,IF(CG53&lt;CJ$6,(((Volatilities_Resets!$Q42-Volatilities_Resets!$O42)/50)*((Calculator!CG53-Calculator!CI$6)*10000)+Volatilities_Resets!$O42)),IF(CG53&gt;=CI$5,IF(CG53&lt;CJ$5,(((Volatilities_Resets!$O42-Volatilities_Resets!$M42)/50)*((Calculator!CG53-Calculator!CI$5)*10000)+Volatilities_Resets!$M42)),IF(CG53&gt;=CI$4,IF(CG53&lt;CJ$4,(((Volatilities_Resets!$M42-Volatilities_Resets!$K42)/50)*((Calculator!CG53-Calculator!CI$4)*10000)+Volatilities_Resets!$K42)),IF(CG53&gt;=CI$3,IF(CG53&lt;CJ$3,(((Volatilities_Resets!$K42-Volatilities_Resets!$I42)/50)*((Calculator!CG53-Calculator!CI$3)*10000)+Volatilities_Resets!$I42)),IF(CG53&gt;=CI$2,IF(CG53&lt;CJ$2,(((Volatilities_Resets!$I42-Volatilities_Resets!$G42)/50)*((Calculator!CG53-Calculator!CI$2)*10000)+Volatilities_Resets!$G42)),"Well, something broke...")))))))))))/10000</f>
        <v>1.5094E-2</v>
      </c>
      <c r="CJ53" s="63">
        <f t="shared" ca="1" si="41"/>
        <v>5649.7663042995291</v>
      </c>
      <c r="CK53" s="63">
        <f t="shared" ca="1" si="42"/>
        <v>2.2969973589554896E-4</v>
      </c>
      <c r="CL53" s="63">
        <f t="shared" ca="1" si="48"/>
        <v>124451.34468266476</v>
      </c>
      <c r="CO53" s="63">
        <f t="shared" ca="1" si="43"/>
        <v>79.983529635246697</v>
      </c>
      <c r="CP53" s="63">
        <f ca="1">SUM($CO$15:CO53)</f>
        <v>2145.3247929030204</v>
      </c>
      <c r="CR53" s="52">
        <f ca="1">EXP(-AVERAGE(CH$15:CH53)*CE53)</f>
        <v>0.86256914749079527</v>
      </c>
      <c r="CT53"/>
      <c r="CU53"/>
      <c r="CV53"/>
      <c r="CW53"/>
      <c r="CX53"/>
      <c r="CY53"/>
      <c r="CZ53"/>
      <c r="DA53"/>
      <c r="DB53"/>
      <c r="DC53"/>
      <c r="DD53"/>
      <c r="DE53"/>
      <c r="DF53"/>
      <c r="DG53"/>
      <c r="DH53"/>
      <c r="DI53"/>
      <c r="DJ53"/>
      <c r="DK53"/>
      <c r="DL53"/>
    </row>
    <row r="54" spans="2:116" ht="15.75" customHeight="1" x14ac:dyDescent="0.2">
      <c r="B54" s="52">
        <v>4</v>
      </c>
      <c r="C54" s="52">
        <f t="shared" ca="1" si="49"/>
        <v>40</v>
      </c>
      <c r="D54" s="71">
        <f t="shared" ca="1" si="16"/>
        <v>46378</v>
      </c>
      <c r="E54" s="71">
        <f t="shared" ca="1" si="50"/>
        <v>46409</v>
      </c>
      <c r="F54" s="72">
        <f t="shared" ca="1" si="51"/>
        <v>31</v>
      </c>
      <c r="G54" s="73">
        <f ca="1">SUM($F$15:F54)/360</f>
        <v>3.3833333333333333</v>
      </c>
      <c r="H54" s="74">
        <f t="shared" si="2"/>
        <v>25000000</v>
      </c>
      <c r="I54" s="59">
        <f>IF('Cap Pricer'!$E$22=DataValidation!$C$2,'Cap Pricer'!$E$23,IF('Cap Pricer'!$E$22=DataValidation!$C$3,VLOOKUP($B54,'Cap Pricer'!$C$25:$E$31,3),""))</f>
        <v>0.02</v>
      </c>
      <c r="J54" s="57">
        <f>Volatilities_Resets!$E43*0.01</f>
        <v>3.73473E-2</v>
      </c>
      <c r="K54" s="61">
        <f>IF(I54=L$11,Volatilities_Resets!$AA43,IF(I54&gt;=K$11,IF(I54&lt;L$11,(((Volatilities_Resets!$AA43-Volatilities_Resets!$Y43)/50)*((Calculator!I54-Calculator!K$11)*10000)+Volatilities_Resets!$Y43)),IF(I54&gt;=K$10,IF(I54&lt;L$10,(((Volatilities_Resets!$Y43-Volatilities_Resets!$W43)/50)*((Calculator!I54-Calculator!K$10)*10000)+Volatilities_Resets!$W43)),IF(I54&gt;=K$9,IF(I54&lt;L$9,(((Volatilities_Resets!$W43-Volatilities_Resets!$U43)/50)*((Calculator!I54-Calculator!K$9)*10000)+Volatilities_Resets!$U43)),IF(I54&gt;=K$8,IF(I54&lt;L$8,(((Volatilities_Resets!$U43-Volatilities_Resets!$S43)/50)*((Calculator!I54-Calculator!K$8)*10000)+Volatilities_Resets!$S43)),IF(I54&gt;=K$7,IF(I54&lt;L$7,(((Volatilities_Resets!$S43-Volatilities_Resets!$Q43)/50)*((Calculator!I54-Calculator!K$7)*10000)+Volatilities_Resets!$Q43)),IF(I54&gt;=K$6,IF(I54&lt;L$6,(((Volatilities_Resets!$Q43-Volatilities_Resets!$O43)/50)*((Calculator!I54-Calculator!K$6)*10000)+Volatilities_Resets!$O43)),IF(I54&gt;=K$5,IF(I54&lt;L$5,(((Volatilities_Resets!$O43-Volatilities_Resets!$M43)/50)*((Calculator!I54-Calculator!K$5)*10000)+Volatilities_Resets!$M43)),IF(I54&gt;=K$4,IF(I54&lt;L$4,(((Volatilities_Resets!$M43-Volatilities_Resets!$K43)/50)*((Calculator!I54-Calculator!K$4)*10000)+Volatilities_Resets!$K43)),IF(I54&gt;=K$3,IF(I54&lt;L$3,(((Volatilities_Resets!$K43-Volatilities_Resets!$I43)/50)*((Calculator!I54-Calculator!K$3)*10000)+Volatilities_Resets!$I43)),IF(I54&gt;=K$2,IF(I54&lt;L$2,(((Volatilities_Resets!$I43-Volatilities_Resets!$G43)/50)*((Calculator!I54-Calculator!K$2)*10000)+Volatilities_Resets!$G43)),"Well, something broke...")))))))))))/10000</f>
        <v>1.3186000000000002E-2</v>
      </c>
      <c r="L54" s="47">
        <f t="shared" ca="1" si="17"/>
        <v>38359.177273983951</v>
      </c>
      <c r="M54" s="63">
        <f t="shared" ca="1" si="18"/>
        <v>1.5385819918972649E-3</v>
      </c>
      <c r="N54" s="63">
        <f t="shared" ca="1" si="44"/>
        <v>2120629.4172778265</v>
      </c>
      <c r="Q54" s="63">
        <f t="shared" ca="1" si="19"/>
        <v>90.59821313383658</v>
      </c>
      <c r="R54" s="63">
        <f ca="1">SUM($Q$15:Q54)</f>
        <v>2173.4521029362272</v>
      </c>
      <c r="T54" s="52">
        <f ca="1">EXP(-AVERAGE(J$15:J54)*G54)</f>
        <v>0.85978972667225395</v>
      </c>
      <c r="U54" s="57"/>
      <c r="V54" s="52">
        <f t="shared" ca="1" si="20"/>
        <v>40</v>
      </c>
      <c r="W54" s="71">
        <f t="shared" ca="1" si="21"/>
        <v>46378</v>
      </c>
      <c r="X54" s="71">
        <f t="shared" ca="1" si="3"/>
        <v>46409</v>
      </c>
      <c r="Y54" s="72">
        <f t="shared" ca="1" si="4"/>
        <v>31</v>
      </c>
      <c r="Z54" s="73">
        <f ca="1">SUM(Y$15:Y54)/360</f>
        <v>3.3833333333333333</v>
      </c>
      <c r="AA54" s="74">
        <f t="shared" si="22"/>
        <v>25000000</v>
      </c>
      <c r="AB54" s="59">
        <f t="shared" si="23"/>
        <v>0.03</v>
      </c>
      <c r="AC54" s="57">
        <f>Volatilities_Resets!$E43*0.01</f>
        <v>3.73473E-2</v>
      </c>
      <c r="AD54" s="61">
        <f>IF(AB54=AE$11,Volatilities_Resets!$AA43,IF(AB54&gt;=AD$11,IF(AB54&lt;AE$11,(((Volatilities_Resets!$AA43-Volatilities_Resets!$Y43)/50)*((Calculator!AB54-Calculator!AD$11)*10000)+Volatilities_Resets!$Y43)),IF(AB54&gt;=AD$10,IF(AB54&lt;AE$10,(((Volatilities_Resets!$Y43-Volatilities_Resets!$W43)/50)*((Calculator!AB54-Calculator!AD$10)*10000)+Volatilities_Resets!$W43)),IF(AB54&gt;=AD$9,IF(AB54&lt;AE$9,(((Volatilities_Resets!$W43-Volatilities_Resets!$U43)/50)*((Calculator!AB54-Calculator!AD$9)*10000)+Volatilities_Resets!$U43)),IF(AB54&gt;=AD$8,IF(AB54&lt;AE$8,(((Volatilities_Resets!$U43-Volatilities_Resets!$S43)/50)*((Calculator!AB54-Calculator!AD$8)*10000)+Volatilities_Resets!$S43)),IF(AB54&gt;=AD$7,IF(AB54&lt;AE$7,(((Volatilities_Resets!$S43-Volatilities_Resets!$Q43)/50)*((Calculator!AB54-Calculator!AD$7)*10000)+Volatilities_Resets!$Q43)),IF(AB54&gt;=AD$6,IF(AB54&lt;AE$6,(((Volatilities_Resets!$Q43-Volatilities_Resets!$O43)/50)*((Calculator!AB54-Calculator!AD$6)*10000)+Volatilities_Resets!$O43)),IF(AB54&gt;=AD$5,IF(AB54&lt;AE$5,(((Volatilities_Resets!$O43-Volatilities_Resets!$M43)/50)*((Calculator!AB54-Calculator!AD$5)*10000)+Volatilities_Resets!$M43)),IF(AB54&gt;=AD$4,IF(AB54&lt;AE$4,(((Volatilities_Resets!$M43-Volatilities_Resets!$K43)/50)*((Calculator!AB54-Calculator!AD$4)*10000)+Volatilities_Resets!$K43)),IF(AB54&gt;=AD$3,IF(AB54&lt;AE$3,(((Volatilities_Resets!$K43-Volatilities_Resets!$I43)/50)*((Calculator!AB54-Calculator!AD$3)*10000)+Volatilities_Resets!$I43)),IF(AB54&gt;=AD$2,IF(AB54&lt;AE$2,(((Volatilities_Resets!$I43-Volatilities_Resets!$G43)/50)*((Calculator!AB54-Calculator!AD$2)*10000)+Volatilities_Resets!$G43)),"Well, something broke...")))))))))))/10000</f>
        <v>1.3196000000000001E-2</v>
      </c>
      <c r="AE54" s="63">
        <f t="shared" ca="1" si="24"/>
        <v>25537.837415476191</v>
      </c>
      <c r="AF54" s="63">
        <f t="shared" ca="1" si="25"/>
        <v>1.0267049252017666E-3</v>
      </c>
      <c r="AG54" s="63">
        <f t="shared" ca="1" si="45"/>
        <v>1459544.9199920462</v>
      </c>
      <c r="AJ54" s="63">
        <f t="shared" ca="1" si="26"/>
        <v>111.58842405435996</v>
      </c>
      <c r="AK54" s="63">
        <f ca="1">SUM($AJ$15:AJ54)</f>
        <v>2706.9896332615635</v>
      </c>
      <c r="AM54" s="52">
        <f ca="1">EXP(-AVERAGE(AC$15:AC54)*Z54)</f>
        <v>0.85978972667225395</v>
      </c>
      <c r="AO54" s="52">
        <f t="shared" ca="1" si="27"/>
        <v>40</v>
      </c>
      <c r="AP54" s="71">
        <f t="shared" ca="1" si="28"/>
        <v>46378</v>
      </c>
      <c r="AQ54" s="71">
        <f t="shared" ca="1" si="5"/>
        <v>46409</v>
      </c>
      <c r="AR54" s="72">
        <f t="shared" ca="1" si="6"/>
        <v>31</v>
      </c>
      <c r="AS54" s="73">
        <f ca="1">SUM(AR$15:AR54)/360</f>
        <v>3.3833333333333333</v>
      </c>
      <c r="AT54" s="74">
        <f t="shared" si="7"/>
        <v>25000000</v>
      </c>
      <c r="AU54" s="59">
        <f t="shared" si="29"/>
        <v>0.04</v>
      </c>
      <c r="AV54" s="57">
        <f>Volatilities_Resets!$E43*0.01</f>
        <v>3.73473E-2</v>
      </c>
      <c r="AW54" s="61">
        <f>IF(AU54=AX$11,Volatilities_Resets!$AA43,IF(AU54&gt;=AW$11,IF(AU54&lt;AX$11,(((Volatilities_Resets!$AA43-Volatilities_Resets!$Y43)/50)*((Calculator!AU54-Calculator!AW$11)*10000)+Volatilities_Resets!$Y43)),IF(AU54&gt;=AW$10,IF(AU54&lt;AX$10,(((Volatilities_Resets!$Y43-Volatilities_Resets!$W43)/50)*((Calculator!AU54-Calculator!AW$10)*10000)+Volatilities_Resets!$W43)),IF(AU54&gt;=AW$9,IF(AU54&lt;AX$9,(((Volatilities_Resets!$W43-Volatilities_Resets!$U43)/50)*((Calculator!AU54-Calculator!AW$9)*10000)+Volatilities_Resets!$U43)),IF(AU54&gt;=AW$8,IF(AU54&lt;AX$8,(((Volatilities_Resets!$U43-Volatilities_Resets!$S43)/50)*((Calculator!AU54-Calculator!AW$8)*10000)+Volatilities_Resets!$S43)),IF(AU54&gt;=AW$7,IF(AU54&lt;AX$7,(((Volatilities_Resets!$S43-Volatilities_Resets!$Q43)/50)*((Calculator!AU54-Calculator!AW$7)*10000)+Volatilities_Resets!$Q43)),IF(AU54&gt;=AW$6,IF(AU54&lt;AX$6,(((Volatilities_Resets!$Q43-Volatilities_Resets!$O43)/50)*((Calculator!AU54-Calculator!AW$6)*10000)+Volatilities_Resets!$O43)),IF(AU54&gt;=AW$5,IF(AU54&lt;AX$5,(((Volatilities_Resets!$O43-Volatilities_Resets!$M43)/50)*((Calculator!AU54-Calculator!AW$5)*10000)+Volatilities_Resets!$M43)),IF(AU54&gt;=AW$4,IF(AU54&lt;AX$4,(((Volatilities_Resets!$M43-Volatilities_Resets!$K43)/50)*((Calculator!AU54-Calculator!AW$4)*10000)+Volatilities_Resets!$K43)),IF(AU54&gt;=AW$3,IF(AU54&lt;AX$3,(((Volatilities_Resets!$K43-Volatilities_Resets!$I43)/50)*((Calculator!AU54-Calculator!AW$3)*10000)+Volatilities_Resets!$I43)),IF(AU54&gt;=AW$2,IF(AU54&lt;AX$2,(((Volatilities_Resets!$I43-Volatilities_Resets!$G43)/50)*((Calculator!AU54-Calculator!AW$2)*10000)+Volatilities_Resets!$G43)),"Well, something broke...")))))))))))/10000</f>
        <v>1.3521999999999999E-2</v>
      </c>
      <c r="AX54" s="63">
        <f t="shared" ca="1" si="30"/>
        <v>16015.379292142845</v>
      </c>
      <c r="AY54" s="63">
        <f t="shared" ca="1" si="31"/>
        <v>6.4601751273076207E-4</v>
      </c>
      <c r="AZ54" s="63">
        <f t="shared" ca="1" si="46"/>
        <v>852663.54285737092</v>
      </c>
      <c r="BC54" s="63">
        <f t="shared" ca="1" si="8"/>
        <v>116.12193326280871</v>
      </c>
      <c r="BD54" s="63">
        <f ca="1">SUM($BC$15:BC54)</f>
        <v>3057.9054379993231</v>
      </c>
      <c r="BF54" s="52">
        <f ca="1">EXP(-AVERAGE(AV$15:AV54)*AS54)</f>
        <v>0.85978972667225395</v>
      </c>
      <c r="BH54" s="52">
        <f t="shared" ca="1" si="32"/>
        <v>40</v>
      </c>
      <c r="BI54" s="71">
        <f t="shared" ca="1" si="33"/>
        <v>46378</v>
      </c>
      <c r="BJ54" s="71">
        <f t="shared" ca="1" si="9"/>
        <v>46409</v>
      </c>
      <c r="BK54" s="72">
        <f t="shared" ca="1" si="10"/>
        <v>31</v>
      </c>
      <c r="BL54" s="73">
        <f ca="1">SUM(BK$15:BK54)/360</f>
        <v>3.3833333333333333</v>
      </c>
      <c r="BM54" s="74">
        <f t="shared" si="11"/>
        <v>25000000</v>
      </c>
      <c r="BN54" s="59">
        <f t="shared" si="34"/>
        <v>0.05</v>
      </c>
      <c r="BO54" s="57">
        <f>Volatilities_Resets!$E43*0.01</f>
        <v>3.73473E-2</v>
      </c>
      <c r="BP54" s="61">
        <f>IF(BN54=BQ$11,Volatilities_Resets!$AA43,IF(BN54&gt;=BP$11,IF(BN54&lt;BQ$11,(((Volatilities_Resets!$AA43-Volatilities_Resets!$Y43)/50)*((Calculator!BN54-Calculator!BP$11)*10000)+Volatilities_Resets!$Y43)),IF(BN54&gt;=BP$10,IF(BN54&lt;BQ$10,(((Volatilities_Resets!$Y43-Volatilities_Resets!$W43)/50)*((Calculator!BN54-Calculator!BP$10)*10000)+Volatilities_Resets!$W43)),IF(BN54&gt;=BP$9,IF(BN54&lt;BQ$9,(((Volatilities_Resets!$W43-Volatilities_Resets!$U43)/50)*((Calculator!BN54-Calculator!BP$9)*10000)+Volatilities_Resets!$U43)),IF(BN54&gt;=BP$8,IF(BN54&lt;BQ$8,(((Volatilities_Resets!$U43-Volatilities_Resets!$S43)/50)*((Calculator!BN54-Calculator!BP$8)*10000)+Volatilities_Resets!$S43)),IF(BN54&gt;=BP$7,IF(BN54&lt;BQ$7,(((Volatilities_Resets!$S43-Volatilities_Resets!$Q43)/50)*((Calculator!BN54-Calculator!BP$7)*10000)+Volatilities_Resets!$Q43)),IF(BN54&gt;=BP$6,IF(BN54&lt;BQ$6,(((Volatilities_Resets!$Q43-Volatilities_Resets!$O43)/50)*((Calculator!BN54-Calculator!BP$6)*10000)+Volatilities_Resets!$O43)),IF(BN54&gt;=BP$5,IF(BN54&lt;BQ$5,(((Volatilities_Resets!$O43-Volatilities_Resets!$M43)/50)*((Calculator!BN54-Calculator!BP$5)*10000)+Volatilities_Resets!$M43)),IF(BN54&gt;=BP$4,IF(BN54&lt;BQ$4,(((Volatilities_Resets!$M43-Volatilities_Resets!$K43)/50)*((Calculator!BN54-Calculator!BP$4)*10000)+Volatilities_Resets!$K43)),IF(BN54&gt;=BP$3,IF(BN54&lt;BQ$3,(((Volatilities_Resets!$K43-Volatilities_Resets!$I43)/50)*((Calculator!BN54-Calculator!BP$3)*10000)+Volatilities_Resets!$I43)),IF(BN54&gt;=BP$2,IF(BN54&lt;BQ$2,(((Volatilities_Resets!$I43-Volatilities_Resets!$G43)/50)*((Calculator!BN54-Calculator!BP$2)*10000)+Volatilities_Resets!$G43)),"Well, something broke...")))))))))))/10000</f>
        <v>1.4177E-2</v>
      </c>
      <c r="BQ54" s="63">
        <f t="shared" ca="1" si="35"/>
        <v>9769.1724879944122</v>
      </c>
      <c r="BR54" s="63">
        <f t="shared" ca="1" si="36"/>
        <v>3.9560049265948571E-4</v>
      </c>
      <c r="BS54" s="63">
        <f t="shared" ca="1" si="47"/>
        <v>371241.56900423724</v>
      </c>
      <c r="BV54" s="63">
        <f t="shared" ca="1" si="37"/>
        <v>103.89684311088658</v>
      </c>
      <c r="BW54" s="63">
        <f ca="1">SUM($BV$15:BV54)</f>
        <v>3123.0394178755782</v>
      </c>
      <c r="BY54" s="52">
        <f ca="1">EXP(-AVERAGE(BO$15:BO54)*BL54)</f>
        <v>0.85978972667225395</v>
      </c>
      <c r="CA54" s="52">
        <f t="shared" ca="1" si="38"/>
        <v>40</v>
      </c>
      <c r="CB54" s="71">
        <f t="shared" ca="1" si="39"/>
        <v>46378</v>
      </c>
      <c r="CC54" s="71">
        <f t="shared" ca="1" si="12"/>
        <v>46409</v>
      </c>
      <c r="CD54" s="72">
        <f t="shared" ca="1" si="13"/>
        <v>31</v>
      </c>
      <c r="CE54" s="73">
        <f ca="1">SUM(CD$15:CD54)/360</f>
        <v>3.3833333333333333</v>
      </c>
      <c r="CF54" s="74">
        <f t="shared" si="14"/>
        <v>25000000</v>
      </c>
      <c r="CG54" s="59">
        <f t="shared" si="40"/>
        <v>0.06</v>
      </c>
      <c r="CH54" s="57">
        <f>Volatilities_Resets!$E43*0.01</f>
        <v>3.73473E-2</v>
      </c>
      <c r="CI54" s="61">
        <f>IF(CG54=CJ$11,Volatilities_Resets!$AA43,IF(CG54&gt;=CI$11,IF(CG54&lt;CJ$11,(((Volatilities_Resets!$AA43-Volatilities_Resets!$Y43)/50)*((Calculator!CG54-Calculator!CI$11)*10000)+Volatilities_Resets!$Y43)),IF(CG54&gt;=CI$10,IF(CG54&lt;CJ$10,(((Volatilities_Resets!$Y43-Volatilities_Resets!$W43)/50)*((Calculator!CG54-Calculator!CI$10)*10000)+Volatilities_Resets!$W43)),IF(CG54&gt;=CI$9,IF(CG54&lt;CJ$9,(((Volatilities_Resets!$W43-Volatilities_Resets!$U43)/50)*((Calculator!CG54-Calculator!CI$9)*10000)+Volatilities_Resets!$U43)),IF(CG54&gt;=CI$8,IF(CG54&lt;CJ$8,(((Volatilities_Resets!$U43-Volatilities_Resets!$S43)/50)*((Calculator!CG54-Calculator!CI$8)*10000)+Volatilities_Resets!$S43)),IF(CG54&gt;=CI$7,IF(CG54&lt;CJ$7,(((Volatilities_Resets!$S43-Volatilities_Resets!$Q43)/50)*((Calculator!CG54-Calculator!CI$7)*10000)+Volatilities_Resets!$Q43)),IF(CG54&gt;=CI$6,IF(CG54&lt;CJ$6,(((Volatilities_Resets!$Q43-Volatilities_Resets!$O43)/50)*((Calculator!CG54-Calculator!CI$6)*10000)+Volatilities_Resets!$O43)),IF(CG54&gt;=CI$5,IF(CG54&lt;CJ$5,(((Volatilities_Resets!$O43-Volatilities_Resets!$M43)/50)*((Calculator!CG54-Calculator!CI$5)*10000)+Volatilities_Resets!$M43)),IF(CG54&gt;=CI$4,IF(CG54&lt;CJ$4,(((Volatilities_Resets!$M43-Volatilities_Resets!$K43)/50)*((Calculator!CG54-Calculator!CI$4)*10000)+Volatilities_Resets!$K43)),IF(CG54&gt;=CI$3,IF(CG54&lt;CJ$3,(((Volatilities_Resets!$K43-Volatilities_Resets!$I43)/50)*((Calculator!CG54-Calculator!CI$3)*10000)+Volatilities_Resets!$I43)),IF(CG54&gt;=CI$2,IF(CG54&lt;CJ$2,(((Volatilities_Resets!$I43-Volatilities_Resets!$G43)/50)*((Calculator!CG54-Calculator!CI$2)*10000)+Volatilities_Resets!$G43)),"Well, something broke...")))))))))))/10000</f>
        <v>1.5094999999999999E-2</v>
      </c>
      <c r="CJ54" s="63">
        <f t="shared" ca="1" si="41"/>
        <v>6006.9197603519806</v>
      </c>
      <c r="CK54" s="63">
        <f t="shared" ca="1" si="42"/>
        <v>2.4418022650677838E-4</v>
      </c>
      <c r="CL54" s="63">
        <f t="shared" ca="1" si="48"/>
        <v>130458.26444301674</v>
      </c>
      <c r="CO54" s="63">
        <f t="shared" ca="1" si="43"/>
        <v>83.903356280610311</v>
      </c>
      <c r="CP54" s="63">
        <f ca="1">SUM($CO$15:CO54)</f>
        <v>2229.2281491836306</v>
      </c>
      <c r="CR54" s="52">
        <f ca="1">EXP(-AVERAGE(CH$15:CH54)*CE54)</f>
        <v>0.85978972667225395</v>
      </c>
      <c r="CT54"/>
      <c r="CU54"/>
      <c r="CV54"/>
      <c r="CW54"/>
      <c r="CX54"/>
      <c r="CY54"/>
      <c r="CZ54"/>
      <c r="DA54"/>
      <c r="DB54"/>
      <c r="DC54"/>
      <c r="DD54"/>
      <c r="DE54"/>
      <c r="DF54"/>
      <c r="DG54"/>
      <c r="DH54"/>
      <c r="DI54"/>
      <c r="DJ54"/>
      <c r="DK54"/>
      <c r="DL54"/>
    </row>
    <row r="55" spans="2:116" ht="15.75" customHeight="1" x14ac:dyDescent="0.2">
      <c r="B55" s="52">
        <v>4</v>
      </c>
      <c r="C55" s="52">
        <f t="shared" ca="1" si="49"/>
        <v>41</v>
      </c>
      <c r="D55" s="71">
        <f t="shared" ca="1" si="16"/>
        <v>46409</v>
      </c>
      <c r="E55" s="71">
        <f t="shared" ca="1" si="50"/>
        <v>46440</v>
      </c>
      <c r="F55" s="72">
        <f t="shared" ca="1" si="51"/>
        <v>31</v>
      </c>
      <c r="G55" s="73">
        <f ca="1">SUM($F$15:F55)/360</f>
        <v>3.4694444444444446</v>
      </c>
      <c r="H55" s="74">
        <f t="shared" si="2"/>
        <v>25000000</v>
      </c>
      <c r="I55" s="59">
        <f>IF('Cap Pricer'!$E$22=DataValidation!$C$2,'Cap Pricer'!$E$23,IF('Cap Pricer'!$E$22=DataValidation!$C$3,VLOOKUP($B55,'Cap Pricer'!$C$25:$E$31,3),""))</f>
        <v>0.02</v>
      </c>
      <c r="J55" s="57">
        <f>Volatilities_Resets!$E44*0.01</f>
        <v>3.7345400000000001E-2</v>
      </c>
      <c r="K55" s="61">
        <f>IF(I55=L$11,Volatilities_Resets!$AA44,IF(I55&gt;=K$11,IF(I55&lt;L$11,(((Volatilities_Resets!$AA44-Volatilities_Resets!$Y44)/50)*((Calculator!I55-Calculator!K$11)*10000)+Volatilities_Resets!$Y44)),IF(I55&gt;=K$10,IF(I55&lt;L$10,(((Volatilities_Resets!$Y44-Volatilities_Resets!$W44)/50)*((Calculator!I55-Calculator!K$10)*10000)+Volatilities_Resets!$W44)),IF(I55&gt;=K$9,IF(I55&lt;L$9,(((Volatilities_Resets!$W44-Volatilities_Resets!$U44)/50)*((Calculator!I55-Calculator!K$9)*10000)+Volatilities_Resets!$U44)),IF(I55&gt;=K$8,IF(I55&lt;L$8,(((Volatilities_Resets!$U44-Volatilities_Resets!$S44)/50)*((Calculator!I55-Calculator!K$8)*10000)+Volatilities_Resets!$S44)),IF(I55&gt;=K$7,IF(I55&lt;L$7,(((Volatilities_Resets!$S44-Volatilities_Resets!$Q44)/50)*((Calculator!I55-Calculator!K$7)*10000)+Volatilities_Resets!$Q44)),IF(I55&gt;=K$6,IF(I55&lt;L$6,(((Volatilities_Resets!$Q44-Volatilities_Resets!$O44)/50)*((Calculator!I55-Calculator!K$6)*10000)+Volatilities_Resets!$O44)),IF(I55&gt;=K$5,IF(I55&lt;L$5,(((Volatilities_Resets!$O44-Volatilities_Resets!$M44)/50)*((Calculator!I55-Calculator!K$5)*10000)+Volatilities_Resets!$M44)),IF(I55&gt;=K$4,IF(I55&lt;L$4,(((Volatilities_Resets!$M44-Volatilities_Resets!$K44)/50)*((Calculator!I55-Calculator!K$4)*10000)+Volatilities_Resets!$K44)),IF(I55&gt;=K$3,IF(I55&lt;L$3,(((Volatilities_Resets!$K44-Volatilities_Resets!$I44)/50)*((Calculator!I55-Calculator!K$3)*10000)+Volatilities_Resets!$I44)),IF(I55&gt;=K$2,IF(I55&lt;L$2,(((Volatilities_Resets!$I44-Volatilities_Resets!$G44)/50)*((Calculator!I55-Calculator!K$2)*10000)+Volatilities_Resets!$G44)),"Well, something broke...")))))))))))/10000</f>
        <v>1.3187000000000001E-2</v>
      </c>
      <c r="L55" s="47">
        <f t="shared" ca="1" si="17"/>
        <v>38409.368784993167</v>
      </c>
      <c r="M55" s="63">
        <f t="shared" ca="1" si="18"/>
        <v>1.5406564853289307E-3</v>
      </c>
      <c r="N55" s="63">
        <f t="shared" ca="1" si="44"/>
        <v>2159038.7860628194</v>
      </c>
      <c r="Q55" s="63">
        <f t="shared" ca="1" si="19"/>
        <v>91.738277248483698</v>
      </c>
      <c r="R55" s="63">
        <f ca="1">SUM($Q$15:Q55)</f>
        <v>2265.1903801847111</v>
      </c>
      <c r="T55" s="52">
        <f ca="1">EXP(-AVERAGE(J$15:J55)*G55)</f>
        <v>0.85701987807107771</v>
      </c>
      <c r="U55" s="57"/>
      <c r="V55" s="52">
        <f t="shared" ca="1" si="20"/>
        <v>41</v>
      </c>
      <c r="W55" s="71">
        <f t="shared" ca="1" si="21"/>
        <v>46409</v>
      </c>
      <c r="X55" s="71">
        <f t="shared" ca="1" si="3"/>
        <v>46440</v>
      </c>
      <c r="Y55" s="72">
        <f t="shared" ca="1" si="4"/>
        <v>31</v>
      </c>
      <c r="Z55" s="73">
        <f ca="1">SUM(Y$15:Y55)/360</f>
        <v>3.4694444444444446</v>
      </c>
      <c r="AA55" s="74">
        <f t="shared" si="22"/>
        <v>25000000</v>
      </c>
      <c r="AB55" s="59">
        <f t="shared" si="23"/>
        <v>0.03</v>
      </c>
      <c r="AC55" s="57">
        <f>Volatilities_Resets!$E44*0.01</f>
        <v>3.7345400000000001E-2</v>
      </c>
      <c r="AD55" s="61">
        <f>IF(AB55=AE$11,Volatilities_Resets!$AA44,IF(AB55&gt;=AD$11,IF(AB55&lt;AE$11,(((Volatilities_Resets!$AA44-Volatilities_Resets!$Y44)/50)*((Calculator!AB55-Calculator!AD$11)*10000)+Volatilities_Resets!$Y44)),IF(AB55&gt;=AD$10,IF(AB55&lt;AE$10,(((Volatilities_Resets!$Y44-Volatilities_Resets!$W44)/50)*((Calculator!AB55-Calculator!AD$10)*10000)+Volatilities_Resets!$W44)),IF(AB55&gt;=AD$9,IF(AB55&lt;AE$9,(((Volatilities_Resets!$W44-Volatilities_Resets!$U44)/50)*((Calculator!AB55-Calculator!AD$9)*10000)+Volatilities_Resets!$U44)),IF(AB55&gt;=AD$8,IF(AB55&lt;AE$8,(((Volatilities_Resets!$U44-Volatilities_Resets!$S44)/50)*((Calculator!AB55-Calculator!AD$8)*10000)+Volatilities_Resets!$S44)),IF(AB55&gt;=AD$7,IF(AB55&lt;AE$7,(((Volatilities_Resets!$S44-Volatilities_Resets!$Q44)/50)*((Calculator!AB55-Calculator!AD$7)*10000)+Volatilities_Resets!$Q44)),IF(AB55&gt;=AD$6,IF(AB55&lt;AE$6,(((Volatilities_Resets!$Q44-Volatilities_Resets!$O44)/50)*((Calculator!AB55-Calculator!AD$6)*10000)+Volatilities_Resets!$O44)),IF(AB55&gt;=AD$5,IF(AB55&lt;AE$5,(((Volatilities_Resets!$O44-Volatilities_Resets!$M44)/50)*((Calculator!AB55-Calculator!AD$5)*10000)+Volatilities_Resets!$M44)),IF(AB55&gt;=AD$4,IF(AB55&lt;AE$4,(((Volatilities_Resets!$M44-Volatilities_Resets!$K44)/50)*((Calculator!AB55-Calculator!AD$4)*10000)+Volatilities_Resets!$K44)),IF(AB55&gt;=AD$3,IF(AB55&lt;AE$3,(((Volatilities_Resets!$K44-Volatilities_Resets!$I44)/50)*((Calculator!AB55-Calculator!AD$3)*10000)+Volatilities_Resets!$I44)),IF(AB55&gt;=AD$2,IF(AB55&lt;AE$2,(((Volatilities_Resets!$I44-Volatilities_Resets!$G44)/50)*((Calculator!AB55-Calculator!AD$2)*10000)+Volatilities_Resets!$G44)),"Well, something broke...")))))))))))/10000</f>
        <v>1.3196000000000001E-2</v>
      </c>
      <c r="AE55" s="63">
        <f t="shared" ca="1" si="24"/>
        <v>25669.332012308187</v>
      </c>
      <c r="AF55" s="63">
        <f t="shared" ca="1" si="25"/>
        <v>1.0320194603892468E-3</v>
      </c>
      <c r="AG55" s="63">
        <f t="shared" ca="1" si="45"/>
        <v>1485214.2520043545</v>
      </c>
      <c r="AJ55" s="63">
        <f t="shared" ca="1" si="26"/>
        <v>112.40201138991993</v>
      </c>
      <c r="AK55" s="63">
        <f ca="1">SUM($AJ$15:AJ55)</f>
        <v>2819.3916446514836</v>
      </c>
      <c r="AM55" s="52">
        <f ca="1">EXP(-AVERAGE(AC$15:AC55)*Z55)</f>
        <v>0.85701987807107771</v>
      </c>
      <c r="AO55" s="52">
        <f t="shared" ca="1" si="27"/>
        <v>41</v>
      </c>
      <c r="AP55" s="71">
        <f t="shared" ca="1" si="28"/>
        <v>46409</v>
      </c>
      <c r="AQ55" s="71">
        <f t="shared" ca="1" si="5"/>
        <v>46440</v>
      </c>
      <c r="AR55" s="72">
        <f t="shared" ca="1" si="6"/>
        <v>31</v>
      </c>
      <c r="AS55" s="73">
        <f ca="1">SUM(AR$15:AR55)/360</f>
        <v>3.4694444444444446</v>
      </c>
      <c r="AT55" s="74">
        <f t="shared" si="7"/>
        <v>25000000</v>
      </c>
      <c r="AU55" s="59">
        <f t="shared" si="29"/>
        <v>0.04</v>
      </c>
      <c r="AV55" s="57">
        <f>Volatilities_Resets!$E44*0.01</f>
        <v>3.7345400000000001E-2</v>
      </c>
      <c r="AW55" s="61">
        <f>IF(AU55=AX$11,Volatilities_Resets!$AA44,IF(AU55&gt;=AW$11,IF(AU55&lt;AX$11,(((Volatilities_Resets!$AA44-Volatilities_Resets!$Y44)/50)*((Calculator!AU55-Calculator!AW$11)*10000)+Volatilities_Resets!$Y44)),IF(AU55&gt;=AW$10,IF(AU55&lt;AX$10,(((Volatilities_Resets!$Y44-Volatilities_Resets!$W44)/50)*((Calculator!AU55-Calculator!AW$10)*10000)+Volatilities_Resets!$W44)),IF(AU55&gt;=AW$9,IF(AU55&lt;AX$9,(((Volatilities_Resets!$W44-Volatilities_Resets!$U44)/50)*((Calculator!AU55-Calculator!AW$9)*10000)+Volatilities_Resets!$U44)),IF(AU55&gt;=AW$8,IF(AU55&lt;AX$8,(((Volatilities_Resets!$U44-Volatilities_Resets!$S44)/50)*((Calculator!AU55-Calculator!AW$8)*10000)+Volatilities_Resets!$S44)),IF(AU55&gt;=AW$7,IF(AU55&lt;AX$7,(((Volatilities_Resets!$S44-Volatilities_Resets!$Q44)/50)*((Calculator!AU55-Calculator!AW$7)*10000)+Volatilities_Resets!$Q44)),IF(AU55&gt;=AW$6,IF(AU55&lt;AX$6,(((Volatilities_Resets!$Q44-Volatilities_Resets!$O44)/50)*((Calculator!AU55-Calculator!AW$6)*10000)+Volatilities_Resets!$O44)),IF(AU55&gt;=AW$5,IF(AU55&lt;AX$5,(((Volatilities_Resets!$O44-Volatilities_Resets!$M44)/50)*((Calculator!AU55-Calculator!AW$5)*10000)+Volatilities_Resets!$M44)),IF(AU55&gt;=AW$4,IF(AU55&lt;AX$4,(((Volatilities_Resets!$M44-Volatilities_Resets!$K44)/50)*((Calculator!AU55-Calculator!AW$4)*10000)+Volatilities_Resets!$K44)),IF(AU55&gt;=AW$3,IF(AU55&lt;AX$3,(((Volatilities_Resets!$K44-Volatilities_Resets!$I44)/50)*((Calculator!AU55-Calculator!AW$3)*10000)+Volatilities_Resets!$I44)),IF(AU55&gt;=AW$2,IF(AU55&lt;AX$2,(((Volatilities_Resets!$I44-Volatilities_Resets!$G44)/50)*((Calculator!AU55-Calculator!AW$2)*10000)+Volatilities_Resets!$G44)),"Well, something broke...")))))))))))/10000</f>
        <v>1.3521E-2</v>
      </c>
      <c r="AX55" s="63">
        <f t="shared" ca="1" si="30"/>
        <v>16191.024533849444</v>
      </c>
      <c r="AY55" s="63">
        <f t="shared" ca="1" si="31"/>
        <v>6.5309473219177737E-4</v>
      </c>
      <c r="AZ55" s="63">
        <f t="shared" ca="1" si="46"/>
        <v>868854.56739122036</v>
      </c>
      <c r="BC55" s="63">
        <f t="shared" ca="1" si="8"/>
        <v>116.84932195102597</v>
      </c>
      <c r="BD55" s="63">
        <f ca="1">SUM($BC$15:BC55)</f>
        <v>3174.7547599503491</v>
      </c>
      <c r="BF55" s="52">
        <f ca="1">EXP(-AVERAGE(AV$15:AV55)*AS55)</f>
        <v>0.85701987807107771</v>
      </c>
      <c r="BH55" s="52">
        <f t="shared" ca="1" si="32"/>
        <v>41</v>
      </c>
      <c r="BI55" s="71">
        <f t="shared" ca="1" si="33"/>
        <v>46409</v>
      </c>
      <c r="BJ55" s="71">
        <f t="shared" ca="1" si="9"/>
        <v>46440</v>
      </c>
      <c r="BK55" s="72">
        <f t="shared" ca="1" si="10"/>
        <v>31</v>
      </c>
      <c r="BL55" s="73">
        <f ca="1">SUM(BK$15:BK55)/360</f>
        <v>3.4694444444444446</v>
      </c>
      <c r="BM55" s="74">
        <f t="shared" si="11"/>
        <v>25000000</v>
      </c>
      <c r="BN55" s="59">
        <f t="shared" si="34"/>
        <v>0.05</v>
      </c>
      <c r="BO55" s="57">
        <f>Volatilities_Resets!$E44*0.01</f>
        <v>3.7345400000000001E-2</v>
      </c>
      <c r="BP55" s="61">
        <f>IF(BN55=BQ$11,Volatilities_Resets!$AA44,IF(BN55&gt;=BP$11,IF(BN55&lt;BQ$11,(((Volatilities_Resets!$AA44-Volatilities_Resets!$Y44)/50)*((Calculator!BN55-Calculator!BP$11)*10000)+Volatilities_Resets!$Y44)),IF(BN55&gt;=BP$10,IF(BN55&lt;BQ$10,(((Volatilities_Resets!$Y44-Volatilities_Resets!$W44)/50)*((Calculator!BN55-Calculator!BP$10)*10000)+Volatilities_Resets!$W44)),IF(BN55&gt;=BP$9,IF(BN55&lt;BQ$9,(((Volatilities_Resets!$W44-Volatilities_Resets!$U44)/50)*((Calculator!BN55-Calculator!BP$9)*10000)+Volatilities_Resets!$U44)),IF(BN55&gt;=BP$8,IF(BN55&lt;BQ$8,(((Volatilities_Resets!$U44-Volatilities_Resets!$S44)/50)*((Calculator!BN55-Calculator!BP$8)*10000)+Volatilities_Resets!$S44)),IF(BN55&gt;=BP$7,IF(BN55&lt;BQ$7,(((Volatilities_Resets!$S44-Volatilities_Resets!$Q44)/50)*((Calculator!BN55-Calculator!BP$7)*10000)+Volatilities_Resets!$Q44)),IF(BN55&gt;=BP$6,IF(BN55&lt;BQ$6,(((Volatilities_Resets!$Q44-Volatilities_Resets!$O44)/50)*((Calculator!BN55-Calculator!BP$6)*10000)+Volatilities_Resets!$O44)),IF(BN55&gt;=BP$5,IF(BN55&lt;BQ$5,(((Volatilities_Resets!$O44-Volatilities_Resets!$M44)/50)*((Calculator!BN55-Calculator!BP$5)*10000)+Volatilities_Resets!$M44)),IF(BN55&gt;=BP$4,IF(BN55&lt;BQ$4,(((Volatilities_Resets!$M44-Volatilities_Resets!$K44)/50)*((Calculator!BN55-Calculator!BP$4)*10000)+Volatilities_Resets!$K44)),IF(BN55&gt;=BP$3,IF(BN55&lt;BQ$3,(((Volatilities_Resets!$K44-Volatilities_Resets!$I44)/50)*((Calculator!BN55-Calculator!BP$3)*10000)+Volatilities_Resets!$I44)),IF(BN55&gt;=BP$2,IF(BN55&lt;BQ$2,(((Volatilities_Resets!$I44-Volatilities_Resets!$G44)/50)*((Calculator!BN55-Calculator!BP$2)*10000)+Volatilities_Resets!$G44)),"Well, something broke...")))))))))))/10000</f>
        <v>1.4175999999999999E-2</v>
      </c>
      <c r="BQ55" s="63">
        <f t="shared" ca="1" si="35"/>
        <v>9951.4540436737934</v>
      </c>
      <c r="BR55" s="63">
        <f t="shared" ca="1" si="36"/>
        <v>4.029510402175556E-4</v>
      </c>
      <c r="BS55" s="63">
        <f t="shared" ca="1" si="47"/>
        <v>381193.02304791106</v>
      </c>
      <c r="BV55" s="63">
        <f t="shared" ca="1" si="37"/>
        <v>104.83235275733826</v>
      </c>
      <c r="BW55" s="63">
        <f ca="1">SUM($BV$15:BV55)</f>
        <v>3227.8717706329167</v>
      </c>
      <c r="BY55" s="52">
        <f ca="1">EXP(-AVERAGE(BO$15:BO55)*BL55)</f>
        <v>0.85701987807107771</v>
      </c>
      <c r="CA55" s="52">
        <f t="shared" ca="1" si="38"/>
        <v>41</v>
      </c>
      <c r="CB55" s="71">
        <f t="shared" ca="1" si="39"/>
        <v>46409</v>
      </c>
      <c r="CC55" s="71">
        <f t="shared" ca="1" si="12"/>
        <v>46440</v>
      </c>
      <c r="CD55" s="72">
        <f t="shared" ca="1" si="13"/>
        <v>31</v>
      </c>
      <c r="CE55" s="73">
        <f ca="1">SUM(CD$15:CD55)/360</f>
        <v>3.4694444444444446</v>
      </c>
      <c r="CF55" s="74">
        <f t="shared" si="14"/>
        <v>25000000</v>
      </c>
      <c r="CG55" s="59">
        <f t="shared" si="40"/>
        <v>0.06</v>
      </c>
      <c r="CH55" s="57">
        <f>Volatilities_Resets!$E44*0.01</f>
        <v>3.7345400000000001E-2</v>
      </c>
      <c r="CI55" s="61">
        <f>IF(CG55=CJ$11,Volatilities_Resets!$AA44,IF(CG55&gt;=CI$11,IF(CG55&lt;CJ$11,(((Volatilities_Resets!$AA44-Volatilities_Resets!$Y44)/50)*((Calculator!CG55-Calculator!CI$11)*10000)+Volatilities_Resets!$Y44)),IF(CG55&gt;=CI$10,IF(CG55&lt;CJ$10,(((Volatilities_Resets!$Y44-Volatilities_Resets!$W44)/50)*((Calculator!CG55-Calculator!CI$10)*10000)+Volatilities_Resets!$W44)),IF(CG55&gt;=CI$9,IF(CG55&lt;CJ$9,(((Volatilities_Resets!$W44-Volatilities_Resets!$U44)/50)*((Calculator!CG55-Calculator!CI$9)*10000)+Volatilities_Resets!$U44)),IF(CG55&gt;=CI$8,IF(CG55&lt;CJ$8,(((Volatilities_Resets!$U44-Volatilities_Resets!$S44)/50)*((Calculator!CG55-Calculator!CI$8)*10000)+Volatilities_Resets!$S44)),IF(CG55&gt;=CI$7,IF(CG55&lt;CJ$7,(((Volatilities_Resets!$S44-Volatilities_Resets!$Q44)/50)*((Calculator!CG55-Calculator!CI$7)*10000)+Volatilities_Resets!$Q44)),IF(CG55&gt;=CI$6,IF(CG55&lt;CJ$6,(((Volatilities_Resets!$Q44-Volatilities_Resets!$O44)/50)*((Calculator!CG55-Calculator!CI$6)*10000)+Volatilities_Resets!$O44)),IF(CG55&gt;=CI$5,IF(CG55&lt;CJ$5,(((Volatilities_Resets!$O44-Volatilities_Resets!$M44)/50)*((Calculator!CG55-Calculator!CI$5)*10000)+Volatilities_Resets!$M44)),IF(CG55&gt;=CI$4,IF(CG55&lt;CJ$4,(((Volatilities_Resets!$M44-Volatilities_Resets!$K44)/50)*((Calculator!CG55-Calculator!CI$4)*10000)+Volatilities_Resets!$K44)),IF(CG55&gt;=CI$3,IF(CG55&lt;CJ$3,(((Volatilities_Resets!$K44-Volatilities_Resets!$I44)/50)*((Calculator!CG55-Calculator!CI$3)*10000)+Volatilities_Resets!$I44)),IF(CG55&gt;=CI$2,IF(CG55&lt;CJ$2,(((Volatilities_Resets!$I44-Volatilities_Resets!$G44)/50)*((Calculator!CG55-Calculator!CI$2)*10000)+Volatilities_Resets!$G44)),"Well, something broke...")))))))))))/10000</f>
        <v>1.5094999999999999E-2</v>
      </c>
      <c r="CJ55" s="63">
        <f t="shared" ca="1" si="41"/>
        <v>6172.8774339382016</v>
      </c>
      <c r="CK55" s="63">
        <f t="shared" ca="1" si="42"/>
        <v>2.5088741160906756E-4</v>
      </c>
      <c r="CL55" s="63">
        <f t="shared" ca="1" si="48"/>
        <v>136631.14187695493</v>
      </c>
      <c r="CO55" s="63">
        <f t="shared" ca="1" si="43"/>
        <v>85.108806887859359</v>
      </c>
      <c r="CP55" s="63">
        <f ca="1">SUM($CO$15:CO55)</f>
        <v>2314.33695607149</v>
      </c>
      <c r="CR55" s="52">
        <f ca="1">EXP(-AVERAGE(CH$15:CH55)*CE55)</f>
        <v>0.85701987807107771</v>
      </c>
      <c r="CT55"/>
      <c r="CU55"/>
      <c r="CV55"/>
      <c r="CW55"/>
      <c r="CX55"/>
      <c r="CY55"/>
      <c r="CZ55"/>
      <c r="DA55"/>
      <c r="DB55"/>
      <c r="DC55"/>
      <c r="DD55"/>
      <c r="DE55"/>
      <c r="DF55"/>
      <c r="DG55"/>
      <c r="DH55"/>
      <c r="DI55"/>
      <c r="DJ55"/>
      <c r="DK55"/>
      <c r="DL55"/>
    </row>
    <row r="56" spans="2:116" ht="15.75" customHeight="1" x14ac:dyDescent="0.2">
      <c r="B56" s="52">
        <v>4</v>
      </c>
      <c r="C56" s="52">
        <f t="shared" ca="1" si="49"/>
        <v>42</v>
      </c>
      <c r="D56" s="71">
        <f t="shared" ca="1" si="16"/>
        <v>46440</v>
      </c>
      <c r="E56" s="71">
        <f t="shared" ca="1" si="50"/>
        <v>46468</v>
      </c>
      <c r="F56" s="72">
        <f t="shared" ca="1" si="51"/>
        <v>28</v>
      </c>
      <c r="G56" s="73">
        <f ca="1">SUM($F$15:F56)/360</f>
        <v>3.5472222222222221</v>
      </c>
      <c r="H56" s="74">
        <f t="shared" si="2"/>
        <v>25000000</v>
      </c>
      <c r="I56" s="59">
        <f>IF('Cap Pricer'!$E$22=DataValidation!$C$2,'Cap Pricer'!$E$23,IF('Cap Pricer'!$E$22=DataValidation!$C$3,VLOOKUP($B56,'Cap Pricer'!$C$25:$E$31,3),""))</f>
        <v>0.02</v>
      </c>
      <c r="J56" s="57">
        <f>Volatilities_Resets!$E45*0.01</f>
        <v>3.7339600000000001E-2</v>
      </c>
      <c r="K56" s="61">
        <f>IF(I56=L$11,Volatilities_Resets!$AA45,IF(I56&gt;=K$11,IF(I56&lt;L$11,(((Volatilities_Resets!$AA45-Volatilities_Resets!$Y45)/50)*((Calculator!I56-Calculator!K$11)*10000)+Volatilities_Resets!$Y45)),IF(I56&gt;=K$10,IF(I56&lt;L$10,(((Volatilities_Resets!$Y45-Volatilities_Resets!$W45)/50)*((Calculator!I56-Calculator!K$10)*10000)+Volatilities_Resets!$W45)),IF(I56&gt;=K$9,IF(I56&lt;L$9,(((Volatilities_Resets!$W45-Volatilities_Resets!$U45)/50)*((Calculator!I56-Calculator!K$9)*10000)+Volatilities_Resets!$U45)),IF(I56&gt;=K$8,IF(I56&lt;L$8,(((Volatilities_Resets!$U45-Volatilities_Resets!$S45)/50)*((Calculator!I56-Calculator!K$8)*10000)+Volatilities_Resets!$S45)),IF(I56&gt;=K$7,IF(I56&lt;L$7,(((Volatilities_Resets!$S45-Volatilities_Resets!$Q45)/50)*((Calculator!I56-Calculator!K$7)*10000)+Volatilities_Resets!$Q45)),IF(I56&gt;=K$6,IF(I56&lt;L$6,(((Volatilities_Resets!$Q45-Volatilities_Resets!$O45)/50)*((Calculator!I56-Calculator!K$6)*10000)+Volatilities_Resets!$O45)),IF(I56&gt;=K$5,IF(I56&lt;L$5,(((Volatilities_Resets!$O45-Volatilities_Resets!$M45)/50)*((Calculator!I56-Calculator!K$5)*10000)+Volatilities_Resets!$M45)),IF(I56&gt;=K$4,IF(I56&lt;L$4,(((Volatilities_Resets!$M45-Volatilities_Resets!$K45)/50)*((Calculator!I56-Calculator!K$4)*10000)+Volatilities_Resets!$K45)),IF(I56&gt;=K$3,IF(I56&lt;L$3,(((Volatilities_Resets!$K45-Volatilities_Resets!$I45)/50)*((Calculator!I56-Calculator!K$3)*10000)+Volatilities_Resets!$I45)),IF(I56&gt;=K$2,IF(I56&lt;L$2,(((Volatilities_Resets!$I45-Volatilities_Resets!$G45)/50)*((Calculator!I56-Calculator!K$2)*10000)+Volatilities_Resets!$G45)),"Well, something broke...")))))))))))/10000</f>
        <v>1.3187000000000001E-2</v>
      </c>
      <c r="L56" s="47">
        <f t="shared" ca="1" si="17"/>
        <v>34727.911666926339</v>
      </c>
      <c r="M56" s="63">
        <f t="shared" ca="1" si="18"/>
        <v>1.3930376430718611E-3</v>
      </c>
      <c r="N56" s="63">
        <f t="shared" ca="1" si="44"/>
        <v>2193766.6977297459</v>
      </c>
      <c r="Q56" s="63">
        <f t="shared" ca="1" si="19"/>
        <v>83.773507946309223</v>
      </c>
      <c r="R56" s="63">
        <f ca="1">SUM($Q$15:Q56)</f>
        <v>2348.9638881310202</v>
      </c>
      <c r="T56" s="52">
        <f ca="1">EXP(-AVERAGE(J$15:J56)*G56)</f>
        <v>0.85457525509171528</v>
      </c>
      <c r="U56" s="57"/>
      <c r="V56" s="52">
        <f t="shared" ca="1" si="20"/>
        <v>42</v>
      </c>
      <c r="W56" s="71">
        <f t="shared" ca="1" si="21"/>
        <v>46440</v>
      </c>
      <c r="X56" s="71">
        <f t="shared" ca="1" si="3"/>
        <v>46468</v>
      </c>
      <c r="Y56" s="72">
        <f t="shared" ca="1" si="4"/>
        <v>28</v>
      </c>
      <c r="Z56" s="73">
        <f ca="1">SUM(Y$15:Y56)/360</f>
        <v>3.5472222222222221</v>
      </c>
      <c r="AA56" s="74">
        <f t="shared" si="22"/>
        <v>25000000</v>
      </c>
      <c r="AB56" s="59">
        <f t="shared" si="23"/>
        <v>0.03</v>
      </c>
      <c r="AC56" s="57">
        <f>Volatilities_Resets!$E45*0.01</f>
        <v>3.7339600000000001E-2</v>
      </c>
      <c r="AD56" s="61">
        <f>IF(AB56=AE$11,Volatilities_Resets!$AA45,IF(AB56&gt;=AD$11,IF(AB56&lt;AE$11,(((Volatilities_Resets!$AA45-Volatilities_Resets!$Y45)/50)*((Calculator!AB56-Calculator!AD$11)*10000)+Volatilities_Resets!$Y45)),IF(AB56&gt;=AD$10,IF(AB56&lt;AE$10,(((Volatilities_Resets!$Y45-Volatilities_Resets!$W45)/50)*((Calculator!AB56-Calculator!AD$10)*10000)+Volatilities_Resets!$W45)),IF(AB56&gt;=AD$9,IF(AB56&lt;AE$9,(((Volatilities_Resets!$W45-Volatilities_Resets!$U45)/50)*((Calculator!AB56-Calculator!AD$9)*10000)+Volatilities_Resets!$U45)),IF(AB56&gt;=AD$8,IF(AB56&lt;AE$8,(((Volatilities_Resets!$U45-Volatilities_Resets!$S45)/50)*((Calculator!AB56-Calculator!AD$8)*10000)+Volatilities_Resets!$S45)),IF(AB56&gt;=AD$7,IF(AB56&lt;AE$7,(((Volatilities_Resets!$S45-Volatilities_Resets!$Q45)/50)*((Calculator!AB56-Calculator!AD$7)*10000)+Volatilities_Resets!$Q45)),IF(AB56&gt;=AD$6,IF(AB56&lt;AE$6,(((Volatilities_Resets!$Q45-Volatilities_Resets!$O45)/50)*((Calculator!AB56-Calculator!AD$6)*10000)+Volatilities_Resets!$O45)),IF(AB56&gt;=AD$5,IF(AB56&lt;AE$5,(((Volatilities_Resets!$O45-Volatilities_Resets!$M45)/50)*((Calculator!AB56-Calculator!AD$5)*10000)+Volatilities_Resets!$M45)),IF(AB56&gt;=AD$4,IF(AB56&lt;AE$4,(((Volatilities_Resets!$M45-Volatilities_Resets!$K45)/50)*((Calculator!AB56-Calculator!AD$4)*10000)+Volatilities_Resets!$K45)),IF(AB56&gt;=AD$3,IF(AB56&lt;AE$3,(((Volatilities_Resets!$K45-Volatilities_Resets!$I45)/50)*((Calculator!AB56-Calculator!AD$3)*10000)+Volatilities_Resets!$I45)),IF(AB56&gt;=AD$2,IF(AB56&lt;AE$2,(((Volatilities_Resets!$I45-Volatilities_Resets!$G45)/50)*((Calculator!AB56-Calculator!AD$2)*10000)+Volatilities_Resets!$G45)),"Well, something broke...")))))))))))/10000</f>
        <v>1.3197E-2</v>
      </c>
      <c r="AE56" s="63">
        <f t="shared" ca="1" si="24"/>
        <v>23288.105324791428</v>
      </c>
      <c r="AF56" s="63">
        <f t="shared" ca="1" si="25"/>
        <v>9.3630685345987973E-4</v>
      </c>
      <c r="AG56" s="63">
        <f t="shared" ca="1" si="45"/>
        <v>1508502.357329146</v>
      </c>
      <c r="AJ56" s="63">
        <f t="shared" ca="1" si="26"/>
        <v>102.17815495358371</v>
      </c>
      <c r="AK56" s="63">
        <f ca="1">SUM($AJ$15:AJ56)</f>
        <v>2921.5697996050671</v>
      </c>
      <c r="AM56" s="52">
        <f ca="1">EXP(-AVERAGE(AC$15:AC56)*Z56)</f>
        <v>0.85457525509171528</v>
      </c>
      <c r="AO56" s="52">
        <f t="shared" ca="1" si="27"/>
        <v>42</v>
      </c>
      <c r="AP56" s="71">
        <f t="shared" ca="1" si="28"/>
        <v>46440</v>
      </c>
      <c r="AQ56" s="71">
        <f t="shared" ca="1" si="5"/>
        <v>46468</v>
      </c>
      <c r="AR56" s="72">
        <f t="shared" ca="1" si="6"/>
        <v>28</v>
      </c>
      <c r="AS56" s="73">
        <f ca="1">SUM(AR$15:AR56)/360</f>
        <v>3.5472222222222221</v>
      </c>
      <c r="AT56" s="74">
        <f t="shared" si="7"/>
        <v>25000000</v>
      </c>
      <c r="AU56" s="59">
        <f t="shared" si="29"/>
        <v>0.04</v>
      </c>
      <c r="AV56" s="57">
        <f>Volatilities_Resets!$E45*0.01</f>
        <v>3.7339600000000001E-2</v>
      </c>
      <c r="AW56" s="61">
        <f>IF(AU56=AX$11,Volatilities_Resets!$AA45,IF(AU56&gt;=AW$11,IF(AU56&lt;AX$11,(((Volatilities_Resets!$AA45-Volatilities_Resets!$Y45)/50)*((Calculator!AU56-Calculator!AW$11)*10000)+Volatilities_Resets!$Y45)),IF(AU56&gt;=AW$10,IF(AU56&lt;AX$10,(((Volatilities_Resets!$Y45-Volatilities_Resets!$W45)/50)*((Calculator!AU56-Calculator!AW$10)*10000)+Volatilities_Resets!$W45)),IF(AU56&gt;=AW$9,IF(AU56&lt;AX$9,(((Volatilities_Resets!$W45-Volatilities_Resets!$U45)/50)*((Calculator!AU56-Calculator!AW$9)*10000)+Volatilities_Resets!$U45)),IF(AU56&gt;=AW$8,IF(AU56&lt;AX$8,(((Volatilities_Resets!$U45-Volatilities_Resets!$S45)/50)*((Calculator!AU56-Calculator!AW$8)*10000)+Volatilities_Resets!$S45)),IF(AU56&gt;=AW$7,IF(AU56&lt;AX$7,(((Volatilities_Resets!$S45-Volatilities_Resets!$Q45)/50)*((Calculator!AU56-Calculator!AW$7)*10000)+Volatilities_Resets!$Q45)),IF(AU56&gt;=AW$6,IF(AU56&lt;AX$6,(((Volatilities_Resets!$Q45-Volatilities_Resets!$O45)/50)*((Calculator!AU56-Calculator!AW$6)*10000)+Volatilities_Resets!$O45)),IF(AU56&gt;=AW$5,IF(AU56&lt;AX$5,(((Volatilities_Resets!$O45-Volatilities_Resets!$M45)/50)*((Calculator!AU56-Calculator!AW$5)*10000)+Volatilities_Resets!$M45)),IF(AU56&gt;=AW$4,IF(AU56&lt;AX$4,(((Volatilities_Resets!$M45-Volatilities_Resets!$K45)/50)*((Calculator!AU56-Calculator!AW$4)*10000)+Volatilities_Resets!$K45)),IF(AU56&gt;=AW$3,IF(AU56&lt;AX$3,(((Volatilities_Resets!$K45-Volatilities_Resets!$I45)/50)*((Calculator!AU56-Calculator!AW$3)*10000)+Volatilities_Resets!$I45)),IF(AU56&gt;=AW$2,IF(AU56&lt;AX$2,(((Volatilities_Resets!$I45-Volatilities_Resets!$G45)/50)*((Calculator!AU56-Calculator!AW$2)*10000)+Volatilities_Resets!$G45)),"Well, something broke...")))))))))))/10000</f>
        <v>1.3521999999999999E-2</v>
      </c>
      <c r="AX56" s="63">
        <f t="shared" ca="1" si="30"/>
        <v>14764.340103027871</v>
      </c>
      <c r="AY56" s="63">
        <f t="shared" ca="1" si="31"/>
        <v>5.9554076112767356E-4</v>
      </c>
      <c r="AZ56" s="63">
        <f t="shared" ca="1" si="46"/>
        <v>883618.90749424824</v>
      </c>
      <c r="BC56" s="63">
        <f t="shared" ca="1" si="8"/>
        <v>106.12023664901304</v>
      </c>
      <c r="BD56" s="63">
        <f ca="1">SUM($BC$15:BC56)</f>
        <v>3280.874996599362</v>
      </c>
      <c r="BF56" s="52">
        <f ca="1">EXP(-AVERAGE(AV$15:AV56)*AS56)</f>
        <v>0.85457525509171528</v>
      </c>
      <c r="BH56" s="52">
        <f t="shared" ca="1" si="32"/>
        <v>42</v>
      </c>
      <c r="BI56" s="71">
        <f t="shared" ca="1" si="33"/>
        <v>46440</v>
      </c>
      <c r="BJ56" s="71">
        <f t="shared" ca="1" si="9"/>
        <v>46468</v>
      </c>
      <c r="BK56" s="72">
        <f t="shared" ca="1" si="10"/>
        <v>28</v>
      </c>
      <c r="BL56" s="73">
        <f ca="1">SUM(BK$15:BK56)/360</f>
        <v>3.5472222222222221</v>
      </c>
      <c r="BM56" s="74">
        <f t="shared" si="11"/>
        <v>25000000</v>
      </c>
      <c r="BN56" s="59">
        <f t="shared" si="34"/>
        <v>0.05</v>
      </c>
      <c r="BO56" s="57">
        <f>Volatilities_Resets!$E45*0.01</f>
        <v>3.7339600000000001E-2</v>
      </c>
      <c r="BP56" s="61">
        <f>IF(BN56=BQ$11,Volatilities_Resets!$AA45,IF(BN56&gt;=BP$11,IF(BN56&lt;BQ$11,(((Volatilities_Resets!$AA45-Volatilities_Resets!$Y45)/50)*((Calculator!BN56-Calculator!BP$11)*10000)+Volatilities_Resets!$Y45)),IF(BN56&gt;=BP$10,IF(BN56&lt;BQ$10,(((Volatilities_Resets!$Y45-Volatilities_Resets!$W45)/50)*((Calculator!BN56-Calculator!BP$10)*10000)+Volatilities_Resets!$W45)),IF(BN56&gt;=BP$9,IF(BN56&lt;BQ$9,(((Volatilities_Resets!$W45-Volatilities_Resets!$U45)/50)*((Calculator!BN56-Calculator!BP$9)*10000)+Volatilities_Resets!$U45)),IF(BN56&gt;=BP$8,IF(BN56&lt;BQ$8,(((Volatilities_Resets!$U45-Volatilities_Resets!$S45)/50)*((Calculator!BN56-Calculator!BP$8)*10000)+Volatilities_Resets!$S45)),IF(BN56&gt;=BP$7,IF(BN56&lt;BQ$7,(((Volatilities_Resets!$S45-Volatilities_Resets!$Q45)/50)*((Calculator!BN56-Calculator!BP$7)*10000)+Volatilities_Resets!$Q45)),IF(BN56&gt;=BP$6,IF(BN56&lt;BQ$6,(((Volatilities_Resets!$Q45-Volatilities_Resets!$O45)/50)*((Calculator!BN56-Calculator!BP$6)*10000)+Volatilities_Resets!$O45)),IF(BN56&gt;=BP$5,IF(BN56&lt;BQ$5,(((Volatilities_Resets!$O45-Volatilities_Resets!$M45)/50)*((Calculator!BN56-Calculator!BP$5)*10000)+Volatilities_Resets!$M45)),IF(BN56&gt;=BP$4,IF(BN56&lt;BQ$4,(((Volatilities_Resets!$M45-Volatilities_Resets!$K45)/50)*((Calculator!BN56-Calculator!BP$4)*10000)+Volatilities_Resets!$K45)),IF(BN56&gt;=BP$3,IF(BN56&lt;BQ$3,(((Volatilities_Resets!$K45-Volatilities_Resets!$I45)/50)*((Calculator!BN56-Calculator!BP$3)*10000)+Volatilities_Resets!$I45)),IF(BN56&gt;=BP$2,IF(BN56&lt;BQ$2,(((Volatilities_Resets!$I45-Volatilities_Resets!$G45)/50)*((Calculator!BN56-Calculator!BP$2)*10000)+Volatilities_Resets!$G45)),"Well, something broke...")))))))))))/10000</f>
        <v>1.4177E-2</v>
      </c>
      <c r="BQ56" s="63">
        <f t="shared" ca="1" si="35"/>
        <v>9134.9917490462631</v>
      </c>
      <c r="BR56" s="63">
        <f t="shared" ca="1" si="36"/>
        <v>3.6986632831328286E-4</v>
      </c>
      <c r="BS56" s="63">
        <f t="shared" ca="1" si="47"/>
        <v>390328.01479695732</v>
      </c>
      <c r="BV56" s="63">
        <f t="shared" ca="1" si="37"/>
        <v>95.427392502071058</v>
      </c>
      <c r="BW56" s="63">
        <f ca="1">SUM($BV$15:BV56)</f>
        <v>3323.2991631349878</v>
      </c>
      <c r="BY56" s="52">
        <f ca="1">EXP(-AVERAGE(BO$15:BO56)*BL56)</f>
        <v>0.85457525509171528</v>
      </c>
      <c r="CA56" s="52">
        <f t="shared" ca="1" si="38"/>
        <v>42</v>
      </c>
      <c r="CB56" s="71">
        <f t="shared" ca="1" si="39"/>
        <v>46440</v>
      </c>
      <c r="CC56" s="71">
        <f t="shared" ca="1" si="12"/>
        <v>46468</v>
      </c>
      <c r="CD56" s="72">
        <f t="shared" ca="1" si="13"/>
        <v>28</v>
      </c>
      <c r="CE56" s="73">
        <f ca="1">SUM(CD$15:CD56)/360</f>
        <v>3.5472222222222221</v>
      </c>
      <c r="CF56" s="74">
        <f t="shared" si="14"/>
        <v>25000000</v>
      </c>
      <c r="CG56" s="59">
        <f t="shared" si="40"/>
        <v>0.06</v>
      </c>
      <c r="CH56" s="57">
        <f>Volatilities_Resets!$E45*0.01</f>
        <v>3.7339600000000001E-2</v>
      </c>
      <c r="CI56" s="61">
        <f>IF(CG56=CJ$11,Volatilities_Resets!$AA45,IF(CG56&gt;=CI$11,IF(CG56&lt;CJ$11,(((Volatilities_Resets!$AA45-Volatilities_Resets!$Y45)/50)*((Calculator!CG56-Calculator!CI$11)*10000)+Volatilities_Resets!$Y45)),IF(CG56&gt;=CI$10,IF(CG56&lt;CJ$10,(((Volatilities_Resets!$Y45-Volatilities_Resets!$W45)/50)*((Calculator!CG56-Calculator!CI$10)*10000)+Volatilities_Resets!$W45)),IF(CG56&gt;=CI$9,IF(CG56&lt;CJ$9,(((Volatilities_Resets!$W45-Volatilities_Resets!$U45)/50)*((Calculator!CG56-Calculator!CI$9)*10000)+Volatilities_Resets!$U45)),IF(CG56&gt;=CI$8,IF(CG56&lt;CJ$8,(((Volatilities_Resets!$U45-Volatilities_Resets!$S45)/50)*((Calculator!CG56-Calculator!CI$8)*10000)+Volatilities_Resets!$S45)),IF(CG56&gt;=CI$7,IF(CG56&lt;CJ$7,(((Volatilities_Resets!$S45-Volatilities_Resets!$Q45)/50)*((Calculator!CG56-Calculator!CI$7)*10000)+Volatilities_Resets!$Q45)),IF(CG56&gt;=CI$6,IF(CG56&lt;CJ$6,(((Volatilities_Resets!$Q45-Volatilities_Resets!$O45)/50)*((Calculator!CG56-Calculator!CI$6)*10000)+Volatilities_Resets!$O45)),IF(CG56&gt;=CI$5,IF(CG56&lt;CJ$5,(((Volatilities_Resets!$O45-Volatilities_Resets!$M45)/50)*((Calculator!CG56-Calculator!CI$5)*10000)+Volatilities_Resets!$M45)),IF(CG56&gt;=CI$4,IF(CG56&lt;CJ$4,(((Volatilities_Resets!$M45-Volatilities_Resets!$K45)/50)*((Calculator!CG56-Calculator!CI$4)*10000)+Volatilities_Resets!$K45)),IF(CG56&gt;=CI$3,IF(CG56&lt;CJ$3,(((Volatilities_Resets!$K45-Volatilities_Resets!$I45)/50)*((Calculator!CG56-Calculator!CI$3)*10000)+Volatilities_Resets!$I45)),IF(CG56&gt;=CI$2,IF(CG56&lt;CJ$2,(((Volatilities_Resets!$I45-Volatilities_Resets!$G45)/50)*((Calculator!CG56-Calculator!CI$2)*10000)+Volatilities_Resets!$G45)),"Well, something broke...")))))))))))/10000</f>
        <v>1.5096E-2</v>
      </c>
      <c r="CJ56" s="63">
        <f t="shared" ca="1" si="41"/>
        <v>5709.1698845417504</v>
      </c>
      <c r="CK56" s="63">
        <f t="shared" ca="1" si="42"/>
        <v>2.3200956949546967E-4</v>
      </c>
      <c r="CL56" s="63">
        <f t="shared" ca="1" si="48"/>
        <v>142340.31176149668</v>
      </c>
      <c r="CO56" s="63">
        <f t="shared" ca="1" si="43"/>
        <v>77.825615438546109</v>
      </c>
      <c r="CP56" s="63">
        <f ca="1">SUM($CO$15:CO56)</f>
        <v>2392.1625715100363</v>
      </c>
      <c r="CR56" s="52">
        <f ca="1">EXP(-AVERAGE(CH$15:CH56)*CE56)</f>
        <v>0.85457525509171528</v>
      </c>
      <c r="CT56"/>
      <c r="CU56"/>
      <c r="CV56"/>
      <c r="CW56"/>
      <c r="CX56"/>
      <c r="CY56"/>
      <c r="CZ56"/>
      <c r="DA56"/>
      <c r="DB56"/>
      <c r="DC56"/>
      <c r="DD56"/>
      <c r="DE56"/>
      <c r="DF56"/>
      <c r="DG56"/>
      <c r="DH56"/>
      <c r="DI56"/>
      <c r="DJ56"/>
      <c r="DK56"/>
      <c r="DL56"/>
    </row>
    <row r="57" spans="2:116" ht="15.75" customHeight="1" x14ac:dyDescent="0.2">
      <c r="B57" s="52">
        <v>4</v>
      </c>
      <c r="C57" s="52">
        <f t="shared" ca="1" si="49"/>
        <v>43</v>
      </c>
      <c r="D57" s="71">
        <f t="shared" ca="1" si="16"/>
        <v>46468</v>
      </c>
      <c r="E57" s="71">
        <f t="shared" ca="1" si="50"/>
        <v>46499</v>
      </c>
      <c r="F57" s="72">
        <f t="shared" ca="1" si="51"/>
        <v>31</v>
      </c>
      <c r="G57" s="73">
        <f ca="1">SUM($F$15:F57)/360</f>
        <v>3.6333333333333333</v>
      </c>
      <c r="H57" s="74">
        <f t="shared" si="2"/>
        <v>25000000</v>
      </c>
      <c r="I57" s="59">
        <f>IF('Cap Pricer'!$E$22=DataValidation!$C$2,'Cap Pricer'!$E$23,IF('Cap Pricer'!$E$22=DataValidation!$C$3,VLOOKUP($B57,'Cap Pricer'!$C$25:$E$31,3),""))</f>
        <v>0.02</v>
      </c>
      <c r="J57" s="57">
        <f>Volatilities_Resets!$E46*0.01</f>
        <v>3.7349300000000002E-2</v>
      </c>
      <c r="K57" s="61">
        <f>IF(I57=L$11,Volatilities_Resets!$AA46,IF(I57&gt;=K$11,IF(I57&lt;L$11,(((Volatilities_Resets!$AA46-Volatilities_Resets!$Y46)/50)*((Calculator!I57-Calculator!K$11)*10000)+Volatilities_Resets!$Y46)),IF(I57&gt;=K$10,IF(I57&lt;L$10,(((Volatilities_Resets!$Y46-Volatilities_Resets!$W46)/50)*((Calculator!I57-Calculator!K$10)*10000)+Volatilities_Resets!$W46)),IF(I57&gt;=K$9,IF(I57&lt;L$9,(((Volatilities_Resets!$W46-Volatilities_Resets!$U46)/50)*((Calculator!I57-Calculator!K$9)*10000)+Volatilities_Resets!$U46)),IF(I57&gt;=K$8,IF(I57&lt;L$8,(((Volatilities_Resets!$U46-Volatilities_Resets!$S46)/50)*((Calculator!I57-Calculator!K$8)*10000)+Volatilities_Resets!$S46)),IF(I57&gt;=K$7,IF(I57&lt;L$7,(((Volatilities_Resets!$S46-Volatilities_Resets!$Q46)/50)*((Calculator!I57-Calculator!K$7)*10000)+Volatilities_Resets!$Q46)),IF(I57&gt;=K$6,IF(I57&lt;L$6,(((Volatilities_Resets!$Q46-Volatilities_Resets!$O46)/50)*((Calculator!I57-Calculator!K$6)*10000)+Volatilities_Resets!$O46)),IF(I57&gt;=K$5,IF(I57&lt;L$5,(((Volatilities_Resets!$O46-Volatilities_Resets!$M46)/50)*((Calculator!I57-Calculator!K$5)*10000)+Volatilities_Resets!$M46)),IF(I57&gt;=K$4,IF(I57&lt;L$4,(((Volatilities_Resets!$M46-Volatilities_Resets!$K46)/50)*((Calculator!I57-Calculator!K$4)*10000)+Volatilities_Resets!$K46)),IF(I57&gt;=K$3,IF(I57&lt;L$3,(((Volatilities_Resets!$K46-Volatilities_Resets!$I46)/50)*((Calculator!I57-Calculator!K$3)*10000)+Volatilities_Resets!$I46)),IF(I57&gt;=K$2,IF(I57&lt;L$2,(((Volatilities_Resets!$I46-Volatilities_Resets!$G46)/50)*((Calculator!I57-Calculator!K$2)*10000)+Volatilities_Resets!$G46)),"Well, something broke...")))))))))))/10000</f>
        <v>1.3187000000000001E-2</v>
      </c>
      <c r="L57" s="47">
        <f t="shared" ca="1" si="17"/>
        <v>38510.602548743118</v>
      </c>
      <c r="M57" s="63">
        <f t="shared" ca="1" si="18"/>
        <v>1.5448276385048524E-3</v>
      </c>
      <c r="N57" s="63">
        <f t="shared" ca="1" si="44"/>
        <v>2232277.300278489</v>
      </c>
      <c r="Q57" s="63">
        <f t="shared" ca="1" si="19"/>
        <v>93.775692001504027</v>
      </c>
      <c r="R57" s="63">
        <f ca="1">SUM($Q$15:Q57)</f>
        <v>2442.7395801325242</v>
      </c>
      <c r="T57" s="52">
        <f ca="1">EXP(-AVERAGE(J$15:J57)*G57)</f>
        <v>0.8518216286162843</v>
      </c>
      <c r="U57" s="57"/>
      <c r="V57" s="52">
        <f t="shared" ca="1" si="20"/>
        <v>43</v>
      </c>
      <c r="W57" s="71">
        <f t="shared" ca="1" si="21"/>
        <v>46468</v>
      </c>
      <c r="X57" s="71">
        <f t="shared" ca="1" si="3"/>
        <v>46499</v>
      </c>
      <c r="Y57" s="72">
        <f t="shared" ca="1" si="4"/>
        <v>31</v>
      </c>
      <c r="Z57" s="73">
        <f ca="1">SUM(Y$15:Y57)/360</f>
        <v>3.6333333333333333</v>
      </c>
      <c r="AA57" s="74">
        <f t="shared" si="22"/>
        <v>25000000</v>
      </c>
      <c r="AB57" s="59">
        <f t="shared" si="23"/>
        <v>0.03</v>
      </c>
      <c r="AC57" s="57">
        <f>Volatilities_Resets!$E46*0.01</f>
        <v>3.7349300000000002E-2</v>
      </c>
      <c r="AD57" s="61">
        <f>IF(AB57=AE$11,Volatilities_Resets!$AA46,IF(AB57&gt;=AD$11,IF(AB57&lt;AE$11,(((Volatilities_Resets!$AA46-Volatilities_Resets!$Y46)/50)*((Calculator!AB57-Calculator!AD$11)*10000)+Volatilities_Resets!$Y46)),IF(AB57&gt;=AD$10,IF(AB57&lt;AE$10,(((Volatilities_Resets!$Y46-Volatilities_Resets!$W46)/50)*((Calculator!AB57-Calculator!AD$10)*10000)+Volatilities_Resets!$W46)),IF(AB57&gt;=AD$9,IF(AB57&lt;AE$9,(((Volatilities_Resets!$W46-Volatilities_Resets!$U46)/50)*((Calculator!AB57-Calculator!AD$9)*10000)+Volatilities_Resets!$U46)),IF(AB57&gt;=AD$8,IF(AB57&lt;AE$8,(((Volatilities_Resets!$U46-Volatilities_Resets!$S46)/50)*((Calculator!AB57-Calculator!AD$8)*10000)+Volatilities_Resets!$S46)),IF(AB57&gt;=AD$7,IF(AB57&lt;AE$7,(((Volatilities_Resets!$S46-Volatilities_Resets!$Q46)/50)*((Calculator!AB57-Calculator!AD$7)*10000)+Volatilities_Resets!$Q46)),IF(AB57&gt;=AD$6,IF(AB57&lt;AE$6,(((Volatilities_Resets!$Q46-Volatilities_Resets!$O46)/50)*((Calculator!AB57-Calculator!AD$6)*10000)+Volatilities_Resets!$O46)),IF(AB57&gt;=AD$5,IF(AB57&lt;AE$5,(((Volatilities_Resets!$O46-Volatilities_Resets!$M46)/50)*((Calculator!AB57-Calculator!AD$5)*10000)+Volatilities_Resets!$M46)),IF(AB57&gt;=AD$4,IF(AB57&lt;AE$4,(((Volatilities_Resets!$M46-Volatilities_Resets!$K46)/50)*((Calculator!AB57-Calculator!AD$4)*10000)+Volatilities_Resets!$K46)),IF(AB57&gt;=AD$3,IF(AB57&lt;AE$3,(((Volatilities_Resets!$K46-Volatilities_Resets!$I46)/50)*((Calculator!AB57-Calculator!AD$3)*10000)+Volatilities_Resets!$I46)),IF(AB57&gt;=AD$2,IF(AB57&lt;AE$2,(((Volatilities_Resets!$I46-Volatilities_Resets!$G46)/50)*((Calculator!AB57-Calculator!AD$2)*10000)+Volatilities_Resets!$G46)),"Well, something broke...")))))))))))/10000</f>
        <v>1.3197E-2</v>
      </c>
      <c r="AE57" s="63">
        <f t="shared" ca="1" si="24"/>
        <v>25921.251238880031</v>
      </c>
      <c r="AF57" s="63">
        <f t="shared" ca="1" si="25"/>
        <v>1.0421966167336364E-3</v>
      </c>
      <c r="AG57" s="63">
        <f t="shared" ca="1" si="45"/>
        <v>1534423.608568026</v>
      </c>
      <c r="AJ57" s="63">
        <f t="shared" ca="1" si="26"/>
        <v>113.85803903602434</v>
      </c>
      <c r="AK57" s="63">
        <f ca="1">SUM($AJ$15:AJ57)</f>
        <v>3035.4278386410915</v>
      </c>
      <c r="AM57" s="52">
        <f ca="1">EXP(-AVERAGE(AC$15:AC57)*Z57)</f>
        <v>0.8518216286162843</v>
      </c>
      <c r="AO57" s="52">
        <f t="shared" ca="1" si="27"/>
        <v>43</v>
      </c>
      <c r="AP57" s="71">
        <f t="shared" ca="1" si="28"/>
        <v>46468</v>
      </c>
      <c r="AQ57" s="71">
        <f t="shared" ca="1" si="5"/>
        <v>46499</v>
      </c>
      <c r="AR57" s="72">
        <f t="shared" ca="1" si="6"/>
        <v>31</v>
      </c>
      <c r="AS57" s="73">
        <f ca="1">SUM(AR$15:AR57)/360</f>
        <v>3.6333333333333333</v>
      </c>
      <c r="AT57" s="74">
        <f t="shared" si="7"/>
        <v>25000000</v>
      </c>
      <c r="AU57" s="59">
        <f t="shared" si="29"/>
        <v>0.04</v>
      </c>
      <c r="AV57" s="57">
        <f>Volatilities_Resets!$E46*0.01</f>
        <v>3.7349300000000002E-2</v>
      </c>
      <c r="AW57" s="61">
        <f>IF(AU57=AX$11,Volatilities_Resets!$AA46,IF(AU57&gt;=AW$11,IF(AU57&lt;AX$11,(((Volatilities_Resets!$AA46-Volatilities_Resets!$Y46)/50)*((Calculator!AU57-Calculator!AW$11)*10000)+Volatilities_Resets!$Y46)),IF(AU57&gt;=AW$10,IF(AU57&lt;AX$10,(((Volatilities_Resets!$Y46-Volatilities_Resets!$W46)/50)*((Calculator!AU57-Calculator!AW$10)*10000)+Volatilities_Resets!$W46)),IF(AU57&gt;=AW$9,IF(AU57&lt;AX$9,(((Volatilities_Resets!$W46-Volatilities_Resets!$U46)/50)*((Calculator!AU57-Calculator!AW$9)*10000)+Volatilities_Resets!$U46)),IF(AU57&gt;=AW$8,IF(AU57&lt;AX$8,(((Volatilities_Resets!$U46-Volatilities_Resets!$S46)/50)*((Calculator!AU57-Calculator!AW$8)*10000)+Volatilities_Resets!$S46)),IF(AU57&gt;=AW$7,IF(AU57&lt;AX$7,(((Volatilities_Resets!$S46-Volatilities_Resets!$Q46)/50)*((Calculator!AU57-Calculator!AW$7)*10000)+Volatilities_Resets!$Q46)),IF(AU57&gt;=AW$6,IF(AU57&lt;AX$6,(((Volatilities_Resets!$Q46-Volatilities_Resets!$O46)/50)*((Calculator!AU57-Calculator!AW$6)*10000)+Volatilities_Resets!$O46)),IF(AU57&gt;=AW$5,IF(AU57&lt;AX$5,(((Volatilities_Resets!$O46-Volatilities_Resets!$M46)/50)*((Calculator!AU57-Calculator!AW$5)*10000)+Volatilities_Resets!$M46)),IF(AU57&gt;=AW$4,IF(AU57&lt;AX$4,(((Volatilities_Resets!$M46-Volatilities_Resets!$K46)/50)*((Calculator!AU57-Calculator!AW$4)*10000)+Volatilities_Resets!$K46)),IF(AU57&gt;=AW$3,IF(AU57&lt;AX$3,(((Volatilities_Resets!$K46-Volatilities_Resets!$I46)/50)*((Calculator!AU57-Calculator!AW$3)*10000)+Volatilities_Resets!$I46)),IF(AU57&gt;=AW$2,IF(AU57&lt;AX$2,(((Volatilities_Resets!$I46-Volatilities_Resets!$G46)/50)*((Calculator!AU57-Calculator!AW$2)*10000)+Volatilities_Resets!$G46)),"Well, something broke...")))))))))))/10000</f>
        <v>1.3521999999999999E-2</v>
      </c>
      <c r="AX57" s="63">
        <f t="shared" ca="1" si="30"/>
        <v>16525.30532086888</v>
      </c>
      <c r="AY57" s="63">
        <f t="shared" ca="1" si="31"/>
        <v>6.6656090699352777E-4</v>
      </c>
      <c r="AZ57" s="63">
        <f t="shared" ca="1" si="46"/>
        <v>900144.21281511709</v>
      </c>
      <c r="BC57" s="63">
        <f t="shared" ca="1" si="8"/>
        <v>118.16244237548203</v>
      </c>
      <c r="BD57" s="63">
        <f ca="1">SUM($BC$15:BC57)</f>
        <v>3399.037438974844</v>
      </c>
      <c r="BF57" s="52">
        <f ca="1">EXP(-AVERAGE(AV$15:AV57)*AS57)</f>
        <v>0.8518216286162843</v>
      </c>
      <c r="BH57" s="52">
        <f t="shared" ca="1" si="32"/>
        <v>43</v>
      </c>
      <c r="BI57" s="71">
        <f t="shared" ca="1" si="33"/>
        <v>46468</v>
      </c>
      <c r="BJ57" s="71">
        <f t="shared" ca="1" si="9"/>
        <v>46499</v>
      </c>
      <c r="BK57" s="72">
        <f t="shared" ca="1" si="10"/>
        <v>31</v>
      </c>
      <c r="BL57" s="73">
        <f ca="1">SUM(BK$15:BK57)/360</f>
        <v>3.6333333333333333</v>
      </c>
      <c r="BM57" s="74">
        <f t="shared" si="11"/>
        <v>25000000</v>
      </c>
      <c r="BN57" s="59">
        <f t="shared" si="34"/>
        <v>0.05</v>
      </c>
      <c r="BO57" s="57">
        <f>Volatilities_Resets!$E46*0.01</f>
        <v>3.7349300000000002E-2</v>
      </c>
      <c r="BP57" s="61">
        <f>IF(BN57=BQ$11,Volatilities_Resets!$AA46,IF(BN57&gt;=BP$11,IF(BN57&lt;BQ$11,(((Volatilities_Resets!$AA46-Volatilities_Resets!$Y46)/50)*((Calculator!BN57-Calculator!BP$11)*10000)+Volatilities_Resets!$Y46)),IF(BN57&gt;=BP$10,IF(BN57&lt;BQ$10,(((Volatilities_Resets!$Y46-Volatilities_Resets!$W46)/50)*((Calculator!BN57-Calculator!BP$10)*10000)+Volatilities_Resets!$W46)),IF(BN57&gt;=BP$9,IF(BN57&lt;BQ$9,(((Volatilities_Resets!$W46-Volatilities_Resets!$U46)/50)*((Calculator!BN57-Calculator!BP$9)*10000)+Volatilities_Resets!$U46)),IF(BN57&gt;=BP$8,IF(BN57&lt;BQ$8,(((Volatilities_Resets!$U46-Volatilities_Resets!$S46)/50)*((Calculator!BN57-Calculator!BP$8)*10000)+Volatilities_Resets!$S46)),IF(BN57&gt;=BP$7,IF(BN57&lt;BQ$7,(((Volatilities_Resets!$S46-Volatilities_Resets!$Q46)/50)*((Calculator!BN57-Calculator!BP$7)*10000)+Volatilities_Resets!$Q46)),IF(BN57&gt;=BP$6,IF(BN57&lt;BQ$6,(((Volatilities_Resets!$Q46-Volatilities_Resets!$O46)/50)*((Calculator!BN57-Calculator!BP$6)*10000)+Volatilities_Resets!$O46)),IF(BN57&gt;=BP$5,IF(BN57&lt;BQ$5,(((Volatilities_Resets!$O46-Volatilities_Resets!$M46)/50)*((Calculator!BN57-Calculator!BP$5)*10000)+Volatilities_Resets!$M46)),IF(BN57&gt;=BP$4,IF(BN57&lt;BQ$4,(((Volatilities_Resets!$M46-Volatilities_Resets!$K46)/50)*((Calculator!BN57-Calculator!BP$4)*10000)+Volatilities_Resets!$K46)),IF(BN57&gt;=BP$3,IF(BN57&lt;BQ$3,(((Volatilities_Resets!$K46-Volatilities_Resets!$I46)/50)*((Calculator!BN57-Calculator!BP$3)*10000)+Volatilities_Resets!$I46)),IF(BN57&gt;=BP$2,IF(BN57&lt;BQ$2,(((Volatilities_Resets!$I46-Volatilities_Resets!$G46)/50)*((Calculator!BN57-Calculator!BP$2)*10000)+Volatilities_Resets!$G46)),"Well, something broke...")))))))))))/10000</f>
        <v>1.4177E-2</v>
      </c>
      <c r="BQ57" s="63">
        <f t="shared" ca="1" si="35"/>
        <v>10297.740994502761</v>
      </c>
      <c r="BR57" s="63">
        <f t="shared" ca="1" si="36"/>
        <v>4.1691245651066572E-4</v>
      </c>
      <c r="BS57" s="63">
        <f t="shared" ca="1" si="47"/>
        <v>400625.75579146005</v>
      </c>
      <c r="BV57" s="63">
        <f t="shared" ca="1" si="37"/>
        <v>106.53768737725913</v>
      </c>
      <c r="BW57" s="63">
        <f ca="1">SUM($BV$15:BV57)</f>
        <v>3429.8368505122471</v>
      </c>
      <c r="BY57" s="52">
        <f ca="1">EXP(-AVERAGE(BO$15:BO57)*BL57)</f>
        <v>0.8518216286162843</v>
      </c>
      <c r="CA57" s="52">
        <f t="shared" ca="1" si="38"/>
        <v>43</v>
      </c>
      <c r="CB57" s="71">
        <f t="shared" ca="1" si="39"/>
        <v>46468</v>
      </c>
      <c r="CC57" s="71">
        <f t="shared" ca="1" si="12"/>
        <v>46499</v>
      </c>
      <c r="CD57" s="72">
        <f t="shared" ca="1" si="13"/>
        <v>31</v>
      </c>
      <c r="CE57" s="73">
        <f ca="1">SUM(CD$15:CD57)/360</f>
        <v>3.6333333333333333</v>
      </c>
      <c r="CF57" s="74">
        <f t="shared" si="14"/>
        <v>25000000</v>
      </c>
      <c r="CG57" s="59">
        <f t="shared" si="40"/>
        <v>0.06</v>
      </c>
      <c r="CH57" s="57">
        <f>Volatilities_Resets!$E46*0.01</f>
        <v>3.7349300000000002E-2</v>
      </c>
      <c r="CI57" s="61">
        <f>IF(CG57=CJ$11,Volatilities_Resets!$AA46,IF(CG57&gt;=CI$11,IF(CG57&lt;CJ$11,(((Volatilities_Resets!$AA46-Volatilities_Resets!$Y46)/50)*((Calculator!CG57-Calculator!CI$11)*10000)+Volatilities_Resets!$Y46)),IF(CG57&gt;=CI$10,IF(CG57&lt;CJ$10,(((Volatilities_Resets!$Y46-Volatilities_Resets!$W46)/50)*((Calculator!CG57-Calculator!CI$10)*10000)+Volatilities_Resets!$W46)),IF(CG57&gt;=CI$9,IF(CG57&lt;CJ$9,(((Volatilities_Resets!$W46-Volatilities_Resets!$U46)/50)*((Calculator!CG57-Calculator!CI$9)*10000)+Volatilities_Resets!$U46)),IF(CG57&gt;=CI$8,IF(CG57&lt;CJ$8,(((Volatilities_Resets!$U46-Volatilities_Resets!$S46)/50)*((Calculator!CG57-Calculator!CI$8)*10000)+Volatilities_Resets!$S46)),IF(CG57&gt;=CI$7,IF(CG57&lt;CJ$7,(((Volatilities_Resets!$S46-Volatilities_Resets!$Q46)/50)*((Calculator!CG57-Calculator!CI$7)*10000)+Volatilities_Resets!$Q46)),IF(CG57&gt;=CI$6,IF(CG57&lt;CJ$6,(((Volatilities_Resets!$Q46-Volatilities_Resets!$O46)/50)*((Calculator!CG57-Calculator!CI$6)*10000)+Volatilities_Resets!$O46)),IF(CG57&gt;=CI$5,IF(CG57&lt;CJ$5,(((Volatilities_Resets!$O46-Volatilities_Resets!$M46)/50)*((Calculator!CG57-Calculator!CI$5)*10000)+Volatilities_Resets!$M46)),IF(CG57&gt;=CI$4,IF(CG57&lt;CJ$4,(((Volatilities_Resets!$M46-Volatilities_Resets!$K46)/50)*((Calculator!CG57-Calculator!CI$4)*10000)+Volatilities_Resets!$K46)),IF(CG57&gt;=CI$3,IF(CG57&lt;CJ$3,(((Volatilities_Resets!$K46-Volatilities_Resets!$I46)/50)*((Calculator!CG57-Calculator!CI$3)*10000)+Volatilities_Resets!$I46)),IF(CG57&gt;=CI$2,IF(CG57&lt;CJ$2,(((Volatilities_Resets!$I46-Volatilities_Resets!$G46)/50)*((Calculator!CG57-Calculator!CI$2)*10000)+Volatilities_Resets!$G46)),"Well, something broke...")))))))))))/10000</f>
        <v>1.5094999999999999E-2</v>
      </c>
      <c r="CJ57" s="63">
        <f t="shared" ca="1" si="41"/>
        <v>6486.6695486293647</v>
      </c>
      <c r="CK57" s="63">
        <f t="shared" ca="1" si="42"/>
        <v>2.6356681282151243E-4</v>
      </c>
      <c r="CL57" s="63">
        <f t="shared" ca="1" si="48"/>
        <v>148826.98131012605</v>
      </c>
      <c r="CO57" s="63">
        <f t="shared" ca="1" si="43"/>
        <v>87.312374461478484</v>
      </c>
      <c r="CP57" s="63">
        <f ca="1">SUM($CO$15:CO57)</f>
        <v>2479.4749459715149</v>
      </c>
      <c r="CR57" s="52">
        <f ca="1">EXP(-AVERAGE(CH$15:CH57)*CE57)</f>
        <v>0.8518216286162843</v>
      </c>
      <c r="CT57"/>
      <c r="CU57"/>
      <c r="CV57"/>
      <c r="CW57"/>
      <c r="CX57"/>
      <c r="CY57"/>
      <c r="CZ57"/>
      <c r="DA57"/>
      <c r="DB57"/>
      <c r="DC57"/>
      <c r="DD57"/>
      <c r="DE57"/>
      <c r="DF57"/>
      <c r="DG57"/>
      <c r="DH57"/>
      <c r="DI57"/>
      <c r="DJ57"/>
      <c r="DK57"/>
      <c r="DL57"/>
    </row>
    <row r="58" spans="2:116" ht="15.75" customHeight="1" x14ac:dyDescent="0.2">
      <c r="B58" s="52">
        <v>4</v>
      </c>
      <c r="C58" s="52">
        <f t="shared" ca="1" si="49"/>
        <v>44</v>
      </c>
      <c r="D58" s="71">
        <f t="shared" ca="1" si="16"/>
        <v>46499</v>
      </c>
      <c r="E58" s="71">
        <f t="shared" ca="1" si="50"/>
        <v>46529</v>
      </c>
      <c r="F58" s="72">
        <f t="shared" ca="1" si="51"/>
        <v>30</v>
      </c>
      <c r="G58" s="73">
        <f ca="1">SUM($F$15:F58)/360</f>
        <v>3.7166666666666668</v>
      </c>
      <c r="H58" s="74">
        <f t="shared" si="2"/>
        <v>25000000</v>
      </c>
      <c r="I58" s="59">
        <f>IF('Cap Pricer'!$E$22=DataValidation!$C$2,'Cap Pricer'!$E$23,IF('Cap Pricer'!$E$22=DataValidation!$C$3,VLOOKUP($B58,'Cap Pricer'!$C$25:$E$31,3),""))</f>
        <v>0.02</v>
      </c>
      <c r="J58" s="57">
        <f>Volatilities_Resets!$E47*0.01</f>
        <v>3.7343500000000002E-2</v>
      </c>
      <c r="K58" s="61">
        <f>IF(I58=L$11,Volatilities_Resets!$AA47,IF(I58&gt;=K$11,IF(I58&lt;L$11,(((Volatilities_Resets!$AA47-Volatilities_Resets!$Y47)/50)*((Calculator!I58-Calculator!K$11)*10000)+Volatilities_Resets!$Y47)),IF(I58&gt;=K$10,IF(I58&lt;L$10,(((Volatilities_Resets!$Y47-Volatilities_Resets!$W47)/50)*((Calculator!I58-Calculator!K$10)*10000)+Volatilities_Resets!$W47)),IF(I58&gt;=K$9,IF(I58&lt;L$9,(((Volatilities_Resets!$W47-Volatilities_Resets!$U47)/50)*((Calculator!I58-Calculator!K$9)*10000)+Volatilities_Resets!$U47)),IF(I58&gt;=K$8,IF(I58&lt;L$8,(((Volatilities_Resets!$U47-Volatilities_Resets!$S47)/50)*((Calculator!I58-Calculator!K$8)*10000)+Volatilities_Resets!$S47)),IF(I58&gt;=K$7,IF(I58&lt;L$7,(((Volatilities_Resets!$S47-Volatilities_Resets!$Q47)/50)*((Calculator!I58-Calculator!K$7)*10000)+Volatilities_Resets!$Q47)),IF(I58&gt;=K$6,IF(I58&lt;L$6,(((Volatilities_Resets!$Q47-Volatilities_Resets!$O47)/50)*((Calculator!I58-Calculator!K$6)*10000)+Volatilities_Resets!$O47)),IF(I58&gt;=K$5,IF(I58&lt;L$5,(((Volatilities_Resets!$O47-Volatilities_Resets!$M47)/50)*((Calculator!I58-Calculator!K$5)*10000)+Volatilities_Resets!$M47)),IF(I58&gt;=K$4,IF(I58&lt;L$4,(((Volatilities_Resets!$M47-Volatilities_Resets!$K47)/50)*((Calculator!I58-Calculator!K$4)*10000)+Volatilities_Resets!$K47)),IF(I58&gt;=K$3,IF(I58&lt;L$3,(((Volatilities_Resets!$K47-Volatilities_Resets!$I47)/50)*((Calculator!I58-Calculator!K$3)*10000)+Volatilities_Resets!$I47)),IF(I58&gt;=K$2,IF(I58&lt;L$2,(((Volatilities_Resets!$I47-Volatilities_Resets!$G47)/50)*((Calculator!I58-Calculator!K$2)*10000)+Volatilities_Resets!$G47)),"Well, something broke...")))))))))))/10000</f>
        <v>1.3187000000000001E-2</v>
      </c>
      <c r="L58" s="47">
        <f t="shared" ca="1" si="17"/>
        <v>37304.939552698284</v>
      </c>
      <c r="M58" s="63">
        <f t="shared" ca="1" si="18"/>
        <v>1.4965178062976375E-3</v>
      </c>
      <c r="N58" s="63">
        <f t="shared" ca="1" si="44"/>
        <v>2269582.2398311873</v>
      </c>
      <c r="Q58" s="63">
        <f t="shared" ca="1" si="19"/>
        <v>91.716358718127069</v>
      </c>
      <c r="R58" s="63">
        <f ca="1">SUM($Q$15:Q58)</f>
        <v>2534.4559388506514</v>
      </c>
      <c r="T58" s="52">
        <f ca="1">EXP(-AVERAGE(J$15:J58)*G58)</f>
        <v>0.84918147476382444</v>
      </c>
      <c r="U58" s="57"/>
      <c r="V58" s="52">
        <f t="shared" ca="1" si="20"/>
        <v>44</v>
      </c>
      <c r="W58" s="71">
        <f t="shared" ca="1" si="21"/>
        <v>46499</v>
      </c>
      <c r="X58" s="71">
        <f t="shared" ca="1" si="3"/>
        <v>46529</v>
      </c>
      <c r="Y58" s="72">
        <f t="shared" ca="1" si="4"/>
        <v>30</v>
      </c>
      <c r="Z58" s="73">
        <f ca="1">SUM(Y$15:Y58)/360</f>
        <v>3.7166666666666668</v>
      </c>
      <c r="AA58" s="74">
        <f t="shared" si="22"/>
        <v>25000000</v>
      </c>
      <c r="AB58" s="59">
        <f t="shared" si="23"/>
        <v>0.03</v>
      </c>
      <c r="AC58" s="57">
        <f>Volatilities_Resets!$E47*0.01</f>
        <v>3.7343500000000002E-2</v>
      </c>
      <c r="AD58" s="61">
        <f>IF(AB58=AE$11,Volatilities_Resets!$AA47,IF(AB58&gt;=AD$11,IF(AB58&lt;AE$11,(((Volatilities_Resets!$AA47-Volatilities_Resets!$Y47)/50)*((Calculator!AB58-Calculator!AD$11)*10000)+Volatilities_Resets!$Y47)),IF(AB58&gt;=AD$10,IF(AB58&lt;AE$10,(((Volatilities_Resets!$Y47-Volatilities_Resets!$W47)/50)*((Calculator!AB58-Calculator!AD$10)*10000)+Volatilities_Resets!$W47)),IF(AB58&gt;=AD$9,IF(AB58&lt;AE$9,(((Volatilities_Resets!$W47-Volatilities_Resets!$U47)/50)*((Calculator!AB58-Calculator!AD$9)*10000)+Volatilities_Resets!$U47)),IF(AB58&gt;=AD$8,IF(AB58&lt;AE$8,(((Volatilities_Resets!$U47-Volatilities_Resets!$S47)/50)*((Calculator!AB58-Calculator!AD$8)*10000)+Volatilities_Resets!$S47)),IF(AB58&gt;=AD$7,IF(AB58&lt;AE$7,(((Volatilities_Resets!$S47-Volatilities_Resets!$Q47)/50)*((Calculator!AB58-Calculator!AD$7)*10000)+Volatilities_Resets!$Q47)),IF(AB58&gt;=AD$6,IF(AB58&lt;AE$6,(((Volatilities_Resets!$Q47-Volatilities_Resets!$O47)/50)*((Calculator!AB58-Calculator!AD$6)*10000)+Volatilities_Resets!$O47)),IF(AB58&gt;=AD$5,IF(AB58&lt;AE$5,(((Volatilities_Resets!$O47-Volatilities_Resets!$M47)/50)*((Calculator!AB58-Calculator!AD$5)*10000)+Volatilities_Resets!$M47)),IF(AB58&gt;=AD$4,IF(AB58&lt;AE$4,(((Volatilities_Resets!$M47-Volatilities_Resets!$K47)/50)*((Calculator!AB58-Calculator!AD$4)*10000)+Volatilities_Resets!$K47)),IF(AB58&gt;=AD$3,IF(AB58&lt;AE$3,(((Volatilities_Resets!$K47-Volatilities_Resets!$I47)/50)*((Calculator!AB58-Calculator!AD$3)*10000)+Volatilities_Resets!$I47)),IF(AB58&gt;=AD$2,IF(AB58&lt;AE$2,(((Volatilities_Resets!$I47-Volatilities_Resets!$G47)/50)*((Calculator!AB58-Calculator!AD$2)*10000)+Volatilities_Resets!$G47)),"Well, something broke...")))))))))))/10000</f>
        <v>1.3197E-2</v>
      </c>
      <c r="AE58" s="63">
        <f t="shared" ca="1" si="24"/>
        <v>25195.118551964468</v>
      </c>
      <c r="AF58" s="63">
        <f t="shared" ca="1" si="25"/>
        <v>1.0130269174244448E-3</v>
      </c>
      <c r="AG58" s="63">
        <f t="shared" ca="1" si="45"/>
        <v>1559618.7271199904</v>
      </c>
      <c r="AJ58" s="63">
        <f t="shared" ca="1" si="26"/>
        <v>110.86436404194696</v>
      </c>
      <c r="AK58" s="63">
        <f ca="1">SUM($AJ$15:AJ58)</f>
        <v>3146.2922026830383</v>
      </c>
      <c r="AM58" s="52">
        <f ca="1">EXP(-AVERAGE(AC$15:AC58)*Z58)</f>
        <v>0.84918147476382444</v>
      </c>
      <c r="AO58" s="52">
        <f t="shared" ca="1" si="27"/>
        <v>44</v>
      </c>
      <c r="AP58" s="71">
        <f t="shared" ca="1" si="28"/>
        <v>46499</v>
      </c>
      <c r="AQ58" s="71">
        <f t="shared" ca="1" si="5"/>
        <v>46529</v>
      </c>
      <c r="AR58" s="72">
        <f t="shared" ca="1" si="6"/>
        <v>30</v>
      </c>
      <c r="AS58" s="73">
        <f ca="1">SUM(AR$15:AR58)/360</f>
        <v>3.7166666666666668</v>
      </c>
      <c r="AT58" s="74">
        <f t="shared" si="7"/>
        <v>25000000</v>
      </c>
      <c r="AU58" s="59">
        <f t="shared" si="29"/>
        <v>0.04</v>
      </c>
      <c r="AV58" s="57">
        <f>Volatilities_Resets!$E47*0.01</f>
        <v>3.7343500000000002E-2</v>
      </c>
      <c r="AW58" s="61">
        <f>IF(AU58=AX$11,Volatilities_Resets!$AA47,IF(AU58&gt;=AW$11,IF(AU58&lt;AX$11,(((Volatilities_Resets!$AA47-Volatilities_Resets!$Y47)/50)*((Calculator!AU58-Calculator!AW$11)*10000)+Volatilities_Resets!$Y47)),IF(AU58&gt;=AW$10,IF(AU58&lt;AX$10,(((Volatilities_Resets!$Y47-Volatilities_Resets!$W47)/50)*((Calculator!AU58-Calculator!AW$10)*10000)+Volatilities_Resets!$W47)),IF(AU58&gt;=AW$9,IF(AU58&lt;AX$9,(((Volatilities_Resets!$W47-Volatilities_Resets!$U47)/50)*((Calculator!AU58-Calculator!AW$9)*10000)+Volatilities_Resets!$U47)),IF(AU58&gt;=AW$8,IF(AU58&lt;AX$8,(((Volatilities_Resets!$U47-Volatilities_Resets!$S47)/50)*((Calculator!AU58-Calculator!AW$8)*10000)+Volatilities_Resets!$S47)),IF(AU58&gt;=AW$7,IF(AU58&lt;AX$7,(((Volatilities_Resets!$S47-Volatilities_Resets!$Q47)/50)*((Calculator!AU58-Calculator!AW$7)*10000)+Volatilities_Resets!$Q47)),IF(AU58&gt;=AW$6,IF(AU58&lt;AX$6,(((Volatilities_Resets!$Q47-Volatilities_Resets!$O47)/50)*((Calculator!AU58-Calculator!AW$6)*10000)+Volatilities_Resets!$O47)),IF(AU58&gt;=AW$5,IF(AU58&lt;AX$5,(((Volatilities_Resets!$O47-Volatilities_Resets!$M47)/50)*((Calculator!AU58-Calculator!AW$5)*10000)+Volatilities_Resets!$M47)),IF(AU58&gt;=AW$4,IF(AU58&lt;AX$4,(((Volatilities_Resets!$M47-Volatilities_Resets!$K47)/50)*((Calculator!AU58-Calculator!AW$4)*10000)+Volatilities_Resets!$K47)),IF(AU58&gt;=AW$3,IF(AU58&lt;AX$3,(((Volatilities_Resets!$K47-Volatilities_Resets!$I47)/50)*((Calculator!AU58-Calculator!AW$3)*10000)+Volatilities_Resets!$I47)),IF(AU58&gt;=AW$2,IF(AU58&lt;AX$2,(((Volatilities_Resets!$I47-Volatilities_Resets!$G47)/50)*((Calculator!AU58-Calculator!AW$2)*10000)+Volatilities_Resets!$G47)),"Well, something broke...")))))))))))/10000</f>
        <v>1.3521999999999999E-2</v>
      </c>
      <c r="AX58" s="63">
        <f t="shared" ca="1" si="30"/>
        <v>16144.300818130214</v>
      </c>
      <c r="AY58" s="63">
        <f t="shared" ca="1" si="31"/>
        <v>6.5118664960941075E-4</v>
      </c>
      <c r="AZ58" s="63">
        <f t="shared" ca="1" si="46"/>
        <v>916288.51363324735</v>
      </c>
      <c r="BC58" s="63">
        <f t="shared" ca="1" si="8"/>
        <v>114.9498087751975</v>
      </c>
      <c r="BD58" s="63">
        <f ca="1">SUM($BC$15:BC58)</f>
        <v>3513.9872477500417</v>
      </c>
      <c r="BF58" s="52">
        <f ca="1">EXP(-AVERAGE(AV$15:AV58)*AS58)</f>
        <v>0.84918147476382444</v>
      </c>
      <c r="BH58" s="52">
        <f t="shared" ca="1" si="32"/>
        <v>44</v>
      </c>
      <c r="BI58" s="71">
        <f t="shared" ca="1" si="33"/>
        <v>46499</v>
      </c>
      <c r="BJ58" s="71">
        <f t="shared" ca="1" si="9"/>
        <v>46529</v>
      </c>
      <c r="BK58" s="72">
        <f t="shared" ca="1" si="10"/>
        <v>30</v>
      </c>
      <c r="BL58" s="73">
        <f ca="1">SUM(BK$15:BK58)/360</f>
        <v>3.7166666666666668</v>
      </c>
      <c r="BM58" s="74">
        <f t="shared" si="11"/>
        <v>25000000</v>
      </c>
      <c r="BN58" s="59">
        <f t="shared" si="34"/>
        <v>0.05</v>
      </c>
      <c r="BO58" s="57">
        <f>Volatilities_Resets!$E47*0.01</f>
        <v>3.7343500000000002E-2</v>
      </c>
      <c r="BP58" s="61">
        <f>IF(BN58=BQ$11,Volatilities_Resets!$AA47,IF(BN58&gt;=BP$11,IF(BN58&lt;BQ$11,(((Volatilities_Resets!$AA47-Volatilities_Resets!$Y47)/50)*((Calculator!BN58-Calculator!BP$11)*10000)+Volatilities_Resets!$Y47)),IF(BN58&gt;=BP$10,IF(BN58&lt;BQ$10,(((Volatilities_Resets!$Y47-Volatilities_Resets!$W47)/50)*((Calculator!BN58-Calculator!BP$10)*10000)+Volatilities_Resets!$W47)),IF(BN58&gt;=BP$9,IF(BN58&lt;BQ$9,(((Volatilities_Resets!$W47-Volatilities_Resets!$U47)/50)*((Calculator!BN58-Calculator!BP$9)*10000)+Volatilities_Resets!$U47)),IF(BN58&gt;=BP$8,IF(BN58&lt;BQ$8,(((Volatilities_Resets!$U47-Volatilities_Resets!$S47)/50)*((Calculator!BN58-Calculator!BP$8)*10000)+Volatilities_Resets!$S47)),IF(BN58&gt;=BP$7,IF(BN58&lt;BQ$7,(((Volatilities_Resets!$S47-Volatilities_Resets!$Q47)/50)*((Calculator!BN58-Calculator!BP$7)*10000)+Volatilities_Resets!$Q47)),IF(BN58&gt;=BP$6,IF(BN58&lt;BQ$6,(((Volatilities_Resets!$Q47-Volatilities_Resets!$O47)/50)*((Calculator!BN58-Calculator!BP$6)*10000)+Volatilities_Resets!$O47)),IF(BN58&gt;=BP$5,IF(BN58&lt;BQ$5,(((Volatilities_Resets!$O47-Volatilities_Resets!$M47)/50)*((Calculator!BN58-Calculator!BP$5)*10000)+Volatilities_Resets!$M47)),IF(BN58&gt;=BP$4,IF(BN58&lt;BQ$4,(((Volatilities_Resets!$M47-Volatilities_Resets!$K47)/50)*((Calculator!BN58-Calculator!BP$4)*10000)+Volatilities_Resets!$K47)),IF(BN58&gt;=BP$3,IF(BN58&lt;BQ$3,(((Volatilities_Resets!$K47-Volatilities_Resets!$I47)/50)*((Calculator!BN58-Calculator!BP$3)*10000)+Volatilities_Resets!$I47)),IF(BN58&gt;=BP$2,IF(BN58&lt;BQ$2,(((Volatilities_Resets!$I47-Volatilities_Resets!$G47)/50)*((Calculator!BN58-Calculator!BP$2)*10000)+Volatilities_Resets!$G47)),"Well, something broke...")))))))))))/10000</f>
        <v>1.4177E-2</v>
      </c>
      <c r="BQ58" s="63">
        <f t="shared" ca="1" si="35"/>
        <v>10126.517257423888</v>
      </c>
      <c r="BR58" s="63">
        <f t="shared" ca="1" si="36"/>
        <v>4.0995360187686335E-4</v>
      </c>
      <c r="BS58" s="63">
        <f t="shared" ca="1" si="47"/>
        <v>410752.27304888394</v>
      </c>
      <c r="BV58" s="63">
        <f t="shared" ca="1" si="37"/>
        <v>103.87424678287859</v>
      </c>
      <c r="BW58" s="63">
        <f ca="1">SUM($BV$15:BV58)</f>
        <v>3533.7110972951259</v>
      </c>
      <c r="BY58" s="52">
        <f ca="1">EXP(-AVERAGE(BO$15:BO58)*BL58)</f>
        <v>0.84918147476382444</v>
      </c>
      <c r="CA58" s="52">
        <f t="shared" ca="1" si="38"/>
        <v>44</v>
      </c>
      <c r="CB58" s="71">
        <f t="shared" ca="1" si="39"/>
        <v>46499</v>
      </c>
      <c r="CC58" s="71">
        <f t="shared" ca="1" si="12"/>
        <v>46529</v>
      </c>
      <c r="CD58" s="72">
        <f t="shared" ca="1" si="13"/>
        <v>30</v>
      </c>
      <c r="CE58" s="73">
        <f ca="1">SUM(CD$15:CD58)/360</f>
        <v>3.7166666666666668</v>
      </c>
      <c r="CF58" s="74">
        <f t="shared" si="14"/>
        <v>25000000</v>
      </c>
      <c r="CG58" s="59">
        <f t="shared" si="40"/>
        <v>0.06</v>
      </c>
      <c r="CH58" s="57">
        <f>Volatilities_Resets!$E47*0.01</f>
        <v>3.7343500000000002E-2</v>
      </c>
      <c r="CI58" s="61">
        <f>IF(CG58=CJ$11,Volatilities_Resets!$AA47,IF(CG58&gt;=CI$11,IF(CG58&lt;CJ$11,(((Volatilities_Resets!$AA47-Volatilities_Resets!$Y47)/50)*((Calculator!CG58-Calculator!CI$11)*10000)+Volatilities_Resets!$Y47)),IF(CG58&gt;=CI$10,IF(CG58&lt;CJ$10,(((Volatilities_Resets!$Y47-Volatilities_Resets!$W47)/50)*((Calculator!CG58-Calculator!CI$10)*10000)+Volatilities_Resets!$W47)),IF(CG58&gt;=CI$9,IF(CG58&lt;CJ$9,(((Volatilities_Resets!$W47-Volatilities_Resets!$U47)/50)*((Calculator!CG58-Calculator!CI$9)*10000)+Volatilities_Resets!$U47)),IF(CG58&gt;=CI$8,IF(CG58&lt;CJ$8,(((Volatilities_Resets!$U47-Volatilities_Resets!$S47)/50)*((Calculator!CG58-Calculator!CI$8)*10000)+Volatilities_Resets!$S47)),IF(CG58&gt;=CI$7,IF(CG58&lt;CJ$7,(((Volatilities_Resets!$S47-Volatilities_Resets!$Q47)/50)*((Calculator!CG58-Calculator!CI$7)*10000)+Volatilities_Resets!$Q47)),IF(CG58&gt;=CI$6,IF(CG58&lt;CJ$6,(((Volatilities_Resets!$Q47-Volatilities_Resets!$O47)/50)*((Calculator!CG58-Calculator!CI$6)*10000)+Volatilities_Resets!$O47)),IF(CG58&gt;=CI$5,IF(CG58&lt;CJ$5,(((Volatilities_Resets!$O47-Volatilities_Resets!$M47)/50)*((Calculator!CG58-Calculator!CI$5)*10000)+Volatilities_Resets!$M47)),IF(CG58&gt;=CI$4,IF(CG58&lt;CJ$4,(((Volatilities_Resets!$M47-Volatilities_Resets!$K47)/50)*((Calculator!CG58-Calculator!CI$4)*10000)+Volatilities_Resets!$K47)),IF(CG58&gt;=CI$3,IF(CG58&lt;CJ$3,(((Volatilities_Resets!$K47-Volatilities_Resets!$I47)/50)*((Calculator!CG58-Calculator!CI$3)*10000)+Volatilities_Resets!$I47)),IF(CG58&gt;=CI$2,IF(CG58&lt;CJ$2,(((Volatilities_Resets!$I47-Volatilities_Resets!$G47)/50)*((Calculator!CG58-Calculator!CI$2)*10000)+Volatilities_Resets!$G47)),"Well, something broke...")))))))))))/10000</f>
        <v>1.5096E-2</v>
      </c>
      <c r="CJ58" s="63">
        <f t="shared" ca="1" si="41"/>
        <v>6427.1905712535608</v>
      </c>
      <c r="CK58" s="63">
        <f t="shared" ca="1" si="42"/>
        <v>2.6111544633455669E-4</v>
      </c>
      <c r="CL58" s="63">
        <f t="shared" ca="1" si="48"/>
        <v>155254.17188137962</v>
      </c>
      <c r="CO58" s="63">
        <f t="shared" ca="1" si="43"/>
        <v>85.508827164581788</v>
      </c>
      <c r="CP58" s="63">
        <f ca="1">SUM($CO$15:CO58)</f>
        <v>2564.9837731360967</v>
      </c>
      <c r="CR58" s="52">
        <f ca="1">EXP(-AVERAGE(CH$15:CH58)*CE58)</f>
        <v>0.84918147476382444</v>
      </c>
      <c r="CT58"/>
      <c r="CU58"/>
      <c r="CV58"/>
      <c r="CW58"/>
      <c r="CX58"/>
      <c r="CY58"/>
      <c r="CZ58"/>
      <c r="DA58"/>
      <c r="DB58"/>
      <c r="DC58"/>
      <c r="DD58"/>
      <c r="DE58"/>
      <c r="DF58"/>
      <c r="DG58"/>
      <c r="DH58"/>
      <c r="DI58"/>
      <c r="DJ58"/>
      <c r="DK58"/>
      <c r="DL58"/>
    </row>
    <row r="59" spans="2:116" ht="15.75" customHeight="1" x14ac:dyDescent="0.2">
      <c r="B59" s="52">
        <v>4</v>
      </c>
      <c r="C59" s="52">
        <f t="shared" ca="1" si="49"/>
        <v>45</v>
      </c>
      <c r="D59" s="71">
        <f t="shared" ca="1" si="16"/>
        <v>46529</v>
      </c>
      <c r="E59" s="71">
        <f t="shared" ca="1" si="50"/>
        <v>46560</v>
      </c>
      <c r="F59" s="72">
        <f t="shared" ca="1" si="51"/>
        <v>31</v>
      </c>
      <c r="G59" s="73">
        <f ca="1">SUM($F$15:F59)/360</f>
        <v>3.8027777777777776</v>
      </c>
      <c r="H59" s="74">
        <f t="shared" si="2"/>
        <v>25000000</v>
      </c>
      <c r="I59" s="59">
        <f>IF('Cap Pricer'!$E$22=DataValidation!$C$2,'Cap Pricer'!$E$23,IF('Cap Pricer'!$E$22=DataValidation!$C$3,VLOOKUP($B59,'Cap Pricer'!$C$25:$E$31,3),""))</f>
        <v>0.02</v>
      </c>
      <c r="J59" s="57">
        <f>Volatilities_Resets!$E48*0.01</f>
        <v>3.7349300000000002E-2</v>
      </c>
      <c r="K59" s="61">
        <f>IF(I59=L$11,Volatilities_Resets!$AA48,IF(I59&gt;=K$11,IF(I59&lt;L$11,(((Volatilities_Resets!$AA48-Volatilities_Resets!$Y48)/50)*((Calculator!I59-Calculator!K$11)*10000)+Volatilities_Resets!$Y48)),IF(I59&gt;=K$10,IF(I59&lt;L$10,(((Volatilities_Resets!$Y48-Volatilities_Resets!$W48)/50)*((Calculator!I59-Calculator!K$10)*10000)+Volatilities_Resets!$W48)),IF(I59&gt;=K$9,IF(I59&lt;L$9,(((Volatilities_Resets!$W48-Volatilities_Resets!$U48)/50)*((Calculator!I59-Calculator!K$9)*10000)+Volatilities_Resets!$U48)),IF(I59&gt;=K$8,IF(I59&lt;L$8,(((Volatilities_Resets!$U48-Volatilities_Resets!$S48)/50)*((Calculator!I59-Calculator!K$8)*10000)+Volatilities_Resets!$S48)),IF(I59&gt;=K$7,IF(I59&lt;L$7,(((Volatilities_Resets!$S48-Volatilities_Resets!$Q48)/50)*((Calculator!I59-Calculator!K$7)*10000)+Volatilities_Resets!$Q48)),IF(I59&gt;=K$6,IF(I59&lt;L$6,(((Volatilities_Resets!$Q48-Volatilities_Resets!$O48)/50)*((Calculator!I59-Calculator!K$6)*10000)+Volatilities_Resets!$O48)),IF(I59&gt;=K$5,IF(I59&lt;L$5,(((Volatilities_Resets!$O48-Volatilities_Resets!$M48)/50)*((Calculator!I59-Calculator!K$5)*10000)+Volatilities_Resets!$M48)),IF(I59&gt;=K$4,IF(I59&lt;L$4,(((Volatilities_Resets!$M48-Volatilities_Resets!$K48)/50)*((Calculator!I59-Calculator!K$4)*10000)+Volatilities_Resets!$K48)),IF(I59&gt;=K$3,IF(I59&lt;L$3,(((Volatilities_Resets!$K48-Volatilities_Resets!$I48)/50)*((Calculator!I59-Calculator!K$3)*10000)+Volatilities_Resets!$I48)),IF(I59&gt;=K$2,IF(I59&lt;L$2,(((Volatilities_Resets!$I48-Volatilities_Resets!$G48)/50)*((Calculator!I59-Calculator!K$2)*10000)+Volatilities_Resets!$G48)),"Well, something broke...")))))))))))/10000</f>
        <v>1.3188E-2</v>
      </c>
      <c r="L59" s="47">
        <f t="shared" ca="1" si="17"/>
        <v>38602.427499823054</v>
      </c>
      <c r="M59" s="63">
        <f t="shared" ca="1" si="18"/>
        <v>1.5486212755226199E-3</v>
      </c>
      <c r="N59" s="63">
        <f t="shared" ca="1" si="44"/>
        <v>2308184.6673310106</v>
      </c>
      <c r="Q59" s="63">
        <f t="shared" ca="1" si="19"/>
        <v>95.736724989674912</v>
      </c>
      <c r="R59" s="63">
        <f ca="1">SUM($Q$15:Q59)</f>
        <v>2630.1926638403261</v>
      </c>
      <c r="T59" s="52">
        <f ca="1">EXP(-AVERAGE(J$15:J59)*G59)</f>
        <v>0.84644571689346693</v>
      </c>
      <c r="U59" s="57"/>
      <c r="V59" s="52">
        <f t="shared" ca="1" si="20"/>
        <v>45</v>
      </c>
      <c r="W59" s="71">
        <f t="shared" ca="1" si="21"/>
        <v>46529</v>
      </c>
      <c r="X59" s="71">
        <f t="shared" ca="1" si="3"/>
        <v>46560</v>
      </c>
      <c r="Y59" s="72">
        <f t="shared" ca="1" si="4"/>
        <v>31</v>
      </c>
      <c r="Z59" s="73">
        <f ca="1">SUM(Y$15:Y59)/360</f>
        <v>3.8027777777777776</v>
      </c>
      <c r="AA59" s="74">
        <f t="shared" si="22"/>
        <v>25000000</v>
      </c>
      <c r="AB59" s="59">
        <f t="shared" si="23"/>
        <v>0.03</v>
      </c>
      <c r="AC59" s="57">
        <f>Volatilities_Resets!$E48*0.01</f>
        <v>3.7349300000000002E-2</v>
      </c>
      <c r="AD59" s="61">
        <f>IF(AB59=AE$11,Volatilities_Resets!$AA48,IF(AB59&gt;=AD$11,IF(AB59&lt;AE$11,(((Volatilities_Resets!$AA48-Volatilities_Resets!$Y48)/50)*((Calculator!AB59-Calculator!AD$11)*10000)+Volatilities_Resets!$Y48)),IF(AB59&gt;=AD$10,IF(AB59&lt;AE$10,(((Volatilities_Resets!$Y48-Volatilities_Resets!$W48)/50)*((Calculator!AB59-Calculator!AD$10)*10000)+Volatilities_Resets!$W48)),IF(AB59&gt;=AD$9,IF(AB59&lt;AE$9,(((Volatilities_Resets!$W48-Volatilities_Resets!$U48)/50)*((Calculator!AB59-Calculator!AD$9)*10000)+Volatilities_Resets!$U48)),IF(AB59&gt;=AD$8,IF(AB59&lt;AE$8,(((Volatilities_Resets!$U48-Volatilities_Resets!$S48)/50)*((Calculator!AB59-Calculator!AD$8)*10000)+Volatilities_Resets!$S48)),IF(AB59&gt;=AD$7,IF(AB59&lt;AE$7,(((Volatilities_Resets!$S48-Volatilities_Resets!$Q48)/50)*((Calculator!AB59-Calculator!AD$7)*10000)+Volatilities_Resets!$Q48)),IF(AB59&gt;=AD$6,IF(AB59&lt;AE$6,(((Volatilities_Resets!$Q48-Volatilities_Resets!$O48)/50)*((Calculator!AB59-Calculator!AD$6)*10000)+Volatilities_Resets!$O48)),IF(AB59&gt;=AD$5,IF(AB59&lt;AE$5,(((Volatilities_Resets!$O48-Volatilities_Resets!$M48)/50)*((Calculator!AB59-Calculator!AD$5)*10000)+Volatilities_Resets!$M48)),IF(AB59&gt;=AD$4,IF(AB59&lt;AE$4,(((Volatilities_Resets!$M48-Volatilities_Resets!$K48)/50)*((Calculator!AB59-Calculator!AD$4)*10000)+Volatilities_Resets!$K48)),IF(AB59&gt;=AD$3,IF(AB59&lt;AE$3,(((Volatilities_Resets!$K48-Volatilities_Resets!$I48)/50)*((Calculator!AB59-Calculator!AD$3)*10000)+Volatilities_Resets!$I48)),IF(AB59&gt;=AD$2,IF(AB59&lt;AE$2,(((Volatilities_Resets!$I48-Volatilities_Resets!$G48)/50)*((Calculator!AB59-Calculator!AD$2)*10000)+Volatilities_Resets!$G48)),"Well, something broke...")))))))))))/10000</f>
        <v>1.3197E-2</v>
      </c>
      <c r="AE59" s="63">
        <f t="shared" ca="1" si="24"/>
        <v>26161.988388626651</v>
      </c>
      <c r="AF59" s="63">
        <f t="shared" ca="1" si="25"/>
        <v>1.0519251011829962E-3</v>
      </c>
      <c r="AG59" s="63">
        <f t="shared" ca="1" si="45"/>
        <v>1585780.715508617</v>
      </c>
      <c r="AJ59" s="63">
        <f t="shared" ca="1" si="26"/>
        <v>115.23439275720496</v>
      </c>
      <c r="AK59" s="63">
        <f ca="1">SUM($AJ$15:AJ59)</f>
        <v>3261.5265954402435</v>
      </c>
      <c r="AM59" s="52">
        <f ca="1">EXP(-AVERAGE(AC$15:AC59)*Z59)</f>
        <v>0.84644571689346693</v>
      </c>
      <c r="AO59" s="52">
        <f t="shared" ca="1" si="27"/>
        <v>45</v>
      </c>
      <c r="AP59" s="71">
        <f t="shared" ca="1" si="28"/>
        <v>46529</v>
      </c>
      <c r="AQ59" s="71">
        <f t="shared" ca="1" si="5"/>
        <v>46560</v>
      </c>
      <c r="AR59" s="72">
        <f t="shared" ca="1" si="6"/>
        <v>31</v>
      </c>
      <c r="AS59" s="73">
        <f ca="1">SUM(AR$15:AR59)/360</f>
        <v>3.8027777777777776</v>
      </c>
      <c r="AT59" s="74">
        <f t="shared" si="7"/>
        <v>25000000</v>
      </c>
      <c r="AU59" s="59">
        <f t="shared" si="29"/>
        <v>0.04</v>
      </c>
      <c r="AV59" s="57">
        <f>Volatilities_Resets!$E48*0.01</f>
        <v>3.7349300000000002E-2</v>
      </c>
      <c r="AW59" s="61">
        <f>IF(AU59=AX$11,Volatilities_Resets!$AA48,IF(AU59&gt;=AW$11,IF(AU59&lt;AX$11,(((Volatilities_Resets!$AA48-Volatilities_Resets!$Y48)/50)*((Calculator!AU59-Calculator!AW$11)*10000)+Volatilities_Resets!$Y48)),IF(AU59&gt;=AW$10,IF(AU59&lt;AX$10,(((Volatilities_Resets!$Y48-Volatilities_Resets!$W48)/50)*((Calculator!AU59-Calculator!AW$10)*10000)+Volatilities_Resets!$W48)),IF(AU59&gt;=AW$9,IF(AU59&lt;AX$9,(((Volatilities_Resets!$W48-Volatilities_Resets!$U48)/50)*((Calculator!AU59-Calculator!AW$9)*10000)+Volatilities_Resets!$U48)),IF(AU59&gt;=AW$8,IF(AU59&lt;AX$8,(((Volatilities_Resets!$U48-Volatilities_Resets!$S48)/50)*((Calculator!AU59-Calculator!AW$8)*10000)+Volatilities_Resets!$S48)),IF(AU59&gt;=AW$7,IF(AU59&lt;AX$7,(((Volatilities_Resets!$S48-Volatilities_Resets!$Q48)/50)*((Calculator!AU59-Calculator!AW$7)*10000)+Volatilities_Resets!$Q48)),IF(AU59&gt;=AW$6,IF(AU59&lt;AX$6,(((Volatilities_Resets!$Q48-Volatilities_Resets!$O48)/50)*((Calculator!AU59-Calculator!AW$6)*10000)+Volatilities_Resets!$O48)),IF(AU59&gt;=AW$5,IF(AU59&lt;AX$5,(((Volatilities_Resets!$O48-Volatilities_Resets!$M48)/50)*((Calculator!AU59-Calculator!AW$5)*10000)+Volatilities_Resets!$M48)),IF(AU59&gt;=AW$4,IF(AU59&lt;AX$4,(((Volatilities_Resets!$M48-Volatilities_Resets!$K48)/50)*((Calculator!AU59-Calculator!AW$4)*10000)+Volatilities_Resets!$K48)),IF(AU59&gt;=AW$3,IF(AU59&lt;AX$3,(((Volatilities_Resets!$K48-Volatilities_Resets!$I48)/50)*((Calculator!AU59-Calculator!AW$3)*10000)+Volatilities_Resets!$I48)),IF(AU59&gt;=AW$2,IF(AU59&lt;AX$2,(((Volatilities_Resets!$I48-Volatilities_Resets!$G48)/50)*((Calculator!AU59-Calculator!AW$2)*10000)+Volatilities_Resets!$G48)),"Well, something broke...")))))))))))/10000</f>
        <v>1.3521999999999999E-2</v>
      </c>
      <c r="AX59" s="63">
        <f t="shared" ca="1" si="30"/>
        <v>16850.719465073784</v>
      </c>
      <c r="AY59" s="63">
        <f t="shared" ca="1" si="31"/>
        <v>6.7967087717919902E-4</v>
      </c>
      <c r="AZ59" s="63">
        <f t="shared" ca="1" si="46"/>
        <v>933139.23309832113</v>
      </c>
      <c r="BC59" s="63">
        <f t="shared" ca="1" si="8"/>
        <v>119.39325435388942</v>
      </c>
      <c r="BD59" s="63">
        <f ca="1">SUM($BC$15:BC59)</f>
        <v>3633.3805021039311</v>
      </c>
      <c r="BF59" s="52">
        <f ca="1">EXP(-AVERAGE(AV$15:AV59)*AS59)</f>
        <v>0.84644571689346693</v>
      </c>
      <c r="BH59" s="52">
        <f t="shared" ca="1" si="32"/>
        <v>45</v>
      </c>
      <c r="BI59" s="71">
        <f t="shared" ca="1" si="33"/>
        <v>46529</v>
      </c>
      <c r="BJ59" s="71">
        <f t="shared" ca="1" si="9"/>
        <v>46560</v>
      </c>
      <c r="BK59" s="72">
        <f t="shared" ca="1" si="10"/>
        <v>31</v>
      </c>
      <c r="BL59" s="73">
        <f ca="1">SUM(BK$15:BK59)/360</f>
        <v>3.8027777777777776</v>
      </c>
      <c r="BM59" s="74">
        <f t="shared" si="11"/>
        <v>25000000</v>
      </c>
      <c r="BN59" s="59">
        <f t="shared" si="34"/>
        <v>0.05</v>
      </c>
      <c r="BO59" s="57">
        <f>Volatilities_Resets!$E48*0.01</f>
        <v>3.7349300000000002E-2</v>
      </c>
      <c r="BP59" s="61">
        <f>IF(BN59=BQ$11,Volatilities_Resets!$AA48,IF(BN59&gt;=BP$11,IF(BN59&lt;BQ$11,(((Volatilities_Resets!$AA48-Volatilities_Resets!$Y48)/50)*((Calculator!BN59-Calculator!BP$11)*10000)+Volatilities_Resets!$Y48)),IF(BN59&gt;=BP$10,IF(BN59&lt;BQ$10,(((Volatilities_Resets!$Y48-Volatilities_Resets!$W48)/50)*((Calculator!BN59-Calculator!BP$10)*10000)+Volatilities_Resets!$W48)),IF(BN59&gt;=BP$9,IF(BN59&lt;BQ$9,(((Volatilities_Resets!$W48-Volatilities_Resets!$U48)/50)*((Calculator!BN59-Calculator!BP$9)*10000)+Volatilities_Resets!$U48)),IF(BN59&gt;=BP$8,IF(BN59&lt;BQ$8,(((Volatilities_Resets!$U48-Volatilities_Resets!$S48)/50)*((Calculator!BN59-Calculator!BP$8)*10000)+Volatilities_Resets!$S48)),IF(BN59&gt;=BP$7,IF(BN59&lt;BQ$7,(((Volatilities_Resets!$S48-Volatilities_Resets!$Q48)/50)*((Calculator!BN59-Calculator!BP$7)*10000)+Volatilities_Resets!$Q48)),IF(BN59&gt;=BP$6,IF(BN59&lt;BQ$6,(((Volatilities_Resets!$Q48-Volatilities_Resets!$O48)/50)*((Calculator!BN59-Calculator!BP$6)*10000)+Volatilities_Resets!$O48)),IF(BN59&gt;=BP$5,IF(BN59&lt;BQ$5,(((Volatilities_Resets!$O48-Volatilities_Resets!$M48)/50)*((Calculator!BN59-Calculator!BP$5)*10000)+Volatilities_Resets!$M48)),IF(BN59&gt;=BP$4,IF(BN59&lt;BQ$4,(((Volatilities_Resets!$M48-Volatilities_Resets!$K48)/50)*((Calculator!BN59-Calculator!BP$4)*10000)+Volatilities_Resets!$K48)),IF(BN59&gt;=BP$3,IF(BN59&lt;BQ$3,(((Volatilities_Resets!$K48-Volatilities_Resets!$I48)/50)*((Calculator!BN59-Calculator!BP$3)*10000)+Volatilities_Resets!$I48)),IF(BN59&gt;=BP$2,IF(BN59&lt;BQ$2,(((Volatilities_Resets!$I48-Volatilities_Resets!$G48)/50)*((Calculator!BN59-Calculator!BP$2)*10000)+Volatilities_Resets!$G48)),"Well, something broke...")))))))))))/10000</f>
        <v>1.4177E-2</v>
      </c>
      <c r="BQ59" s="63">
        <f t="shared" ca="1" si="35"/>
        <v>10639.60999292725</v>
      </c>
      <c r="BR59" s="63">
        <f t="shared" ca="1" si="36"/>
        <v>4.3069496012995001E-4</v>
      </c>
      <c r="BS59" s="63">
        <f t="shared" ca="1" si="47"/>
        <v>421391.88304181118</v>
      </c>
      <c r="BV59" s="63">
        <f t="shared" ca="1" si="37"/>
        <v>108.14529930976656</v>
      </c>
      <c r="BW59" s="63">
        <f ca="1">SUM($BV$15:BV59)</f>
        <v>3641.8563966048923</v>
      </c>
      <c r="BY59" s="52">
        <f ca="1">EXP(-AVERAGE(BO$15:BO59)*BL59)</f>
        <v>0.84644571689346693</v>
      </c>
      <c r="CA59" s="52">
        <f t="shared" ca="1" si="38"/>
        <v>45</v>
      </c>
      <c r="CB59" s="71">
        <f t="shared" ca="1" si="39"/>
        <v>46529</v>
      </c>
      <c r="CC59" s="71">
        <f t="shared" ca="1" si="12"/>
        <v>46560</v>
      </c>
      <c r="CD59" s="72">
        <f t="shared" ca="1" si="13"/>
        <v>31</v>
      </c>
      <c r="CE59" s="73">
        <f ca="1">SUM(CD$15:CD59)/360</f>
        <v>3.8027777777777776</v>
      </c>
      <c r="CF59" s="74">
        <f t="shared" si="14"/>
        <v>25000000</v>
      </c>
      <c r="CG59" s="59">
        <f t="shared" si="40"/>
        <v>0.06</v>
      </c>
      <c r="CH59" s="57">
        <f>Volatilities_Resets!$E48*0.01</f>
        <v>3.7349300000000002E-2</v>
      </c>
      <c r="CI59" s="61">
        <f>IF(CG59=CJ$11,Volatilities_Resets!$AA48,IF(CG59&gt;=CI$11,IF(CG59&lt;CJ$11,(((Volatilities_Resets!$AA48-Volatilities_Resets!$Y48)/50)*((Calculator!CG59-Calculator!CI$11)*10000)+Volatilities_Resets!$Y48)),IF(CG59&gt;=CI$10,IF(CG59&lt;CJ$10,(((Volatilities_Resets!$Y48-Volatilities_Resets!$W48)/50)*((Calculator!CG59-Calculator!CI$10)*10000)+Volatilities_Resets!$W48)),IF(CG59&gt;=CI$9,IF(CG59&lt;CJ$9,(((Volatilities_Resets!$W48-Volatilities_Resets!$U48)/50)*((Calculator!CG59-Calculator!CI$9)*10000)+Volatilities_Resets!$U48)),IF(CG59&gt;=CI$8,IF(CG59&lt;CJ$8,(((Volatilities_Resets!$U48-Volatilities_Resets!$S48)/50)*((Calculator!CG59-Calculator!CI$8)*10000)+Volatilities_Resets!$S48)),IF(CG59&gt;=CI$7,IF(CG59&lt;CJ$7,(((Volatilities_Resets!$S48-Volatilities_Resets!$Q48)/50)*((Calculator!CG59-Calculator!CI$7)*10000)+Volatilities_Resets!$Q48)),IF(CG59&gt;=CI$6,IF(CG59&lt;CJ$6,(((Volatilities_Resets!$Q48-Volatilities_Resets!$O48)/50)*((Calculator!CG59-Calculator!CI$6)*10000)+Volatilities_Resets!$O48)),IF(CG59&gt;=CI$5,IF(CG59&lt;CJ$5,(((Volatilities_Resets!$O48-Volatilities_Resets!$M48)/50)*((Calculator!CG59-Calculator!CI$5)*10000)+Volatilities_Resets!$M48)),IF(CG59&gt;=CI$4,IF(CG59&lt;CJ$4,(((Volatilities_Resets!$M48-Volatilities_Resets!$K48)/50)*((Calculator!CG59-Calculator!CI$4)*10000)+Volatilities_Resets!$K48)),IF(CG59&gt;=CI$3,IF(CG59&lt;CJ$3,(((Volatilities_Resets!$K48-Volatilities_Resets!$I48)/50)*((Calculator!CG59-Calculator!CI$3)*10000)+Volatilities_Resets!$I48)),IF(CG59&gt;=CI$2,IF(CG59&lt;CJ$2,(((Volatilities_Resets!$I48-Volatilities_Resets!$G48)/50)*((Calculator!CG59-Calculator!CI$2)*10000)+Volatilities_Resets!$G48)),"Well, something broke...")))))))))))/10000</f>
        <v>1.5096E-2</v>
      </c>
      <c r="CJ59" s="63">
        <f t="shared" ca="1" si="41"/>
        <v>6802.9709041135793</v>
      </c>
      <c r="CK59" s="63">
        <f t="shared" ca="1" si="42"/>
        <v>2.7634463633405769E-4</v>
      </c>
      <c r="CL59" s="63">
        <f t="shared" ca="1" si="48"/>
        <v>162057.1427854932</v>
      </c>
      <c r="CO59" s="63">
        <f t="shared" ca="1" si="43"/>
        <v>89.422761348331548</v>
      </c>
      <c r="CP59" s="63">
        <f ca="1">SUM($CO$15:CO59)</f>
        <v>2654.4065344844284</v>
      </c>
      <c r="CR59" s="52">
        <f ca="1">EXP(-AVERAGE(CH$15:CH59)*CE59)</f>
        <v>0.84644571689346693</v>
      </c>
      <c r="CT59"/>
      <c r="CU59"/>
      <c r="CV59"/>
      <c r="CW59"/>
      <c r="CX59"/>
      <c r="CY59"/>
      <c r="CZ59"/>
      <c r="DA59"/>
      <c r="DB59"/>
      <c r="DC59"/>
      <c r="DD59"/>
      <c r="DE59"/>
      <c r="DF59"/>
      <c r="DG59"/>
      <c r="DH59"/>
      <c r="DI59"/>
      <c r="DJ59"/>
      <c r="DK59"/>
      <c r="DL59"/>
    </row>
    <row r="60" spans="2:116" ht="15.75" customHeight="1" x14ac:dyDescent="0.2">
      <c r="B60" s="52">
        <v>4</v>
      </c>
      <c r="C60" s="52">
        <f t="shared" ca="1" si="49"/>
        <v>46</v>
      </c>
      <c r="D60" s="71">
        <f t="shared" ca="1" si="16"/>
        <v>46560</v>
      </c>
      <c r="E60" s="71">
        <f t="shared" ca="1" si="50"/>
        <v>46590</v>
      </c>
      <c r="F60" s="72">
        <f t="shared" ca="1" si="51"/>
        <v>30</v>
      </c>
      <c r="G60" s="73">
        <f ca="1">SUM($F$15:F60)/360</f>
        <v>3.8861111111111111</v>
      </c>
      <c r="H60" s="74">
        <f t="shared" si="2"/>
        <v>25000000</v>
      </c>
      <c r="I60" s="59">
        <f>IF('Cap Pricer'!$E$22=DataValidation!$C$2,'Cap Pricer'!$E$23,IF('Cap Pricer'!$E$22=DataValidation!$C$3,VLOOKUP($B60,'Cap Pricer'!$C$25:$E$31,3),""))</f>
        <v>0.02</v>
      </c>
      <c r="J60" s="57">
        <f>Volatilities_Resets!$E49*0.01</f>
        <v>3.73473E-2</v>
      </c>
      <c r="K60" s="61">
        <f>IF(I60=L$11,Volatilities_Resets!$AA49,IF(I60&gt;=K$11,IF(I60&lt;L$11,(((Volatilities_Resets!$AA49-Volatilities_Resets!$Y49)/50)*((Calculator!I60-Calculator!K$11)*10000)+Volatilities_Resets!$Y49)),IF(I60&gt;=K$10,IF(I60&lt;L$10,(((Volatilities_Resets!$Y49-Volatilities_Resets!$W49)/50)*((Calculator!I60-Calculator!K$10)*10000)+Volatilities_Resets!$W49)),IF(I60&gt;=K$9,IF(I60&lt;L$9,(((Volatilities_Resets!$W49-Volatilities_Resets!$U49)/50)*((Calculator!I60-Calculator!K$9)*10000)+Volatilities_Resets!$U49)),IF(I60&gt;=K$8,IF(I60&lt;L$8,(((Volatilities_Resets!$U49-Volatilities_Resets!$S49)/50)*((Calculator!I60-Calculator!K$8)*10000)+Volatilities_Resets!$S49)),IF(I60&gt;=K$7,IF(I60&lt;L$7,(((Volatilities_Resets!$S49-Volatilities_Resets!$Q49)/50)*((Calculator!I60-Calculator!K$7)*10000)+Volatilities_Resets!$Q49)),IF(I60&gt;=K$6,IF(I60&lt;L$6,(((Volatilities_Resets!$Q49-Volatilities_Resets!$O49)/50)*((Calculator!I60-Calculator!K$6)*10000)+Volatilities_Resets!$O49)),IF(I60&gt;=K$5,IF(I60&lt;L$5,(((Volatilities_Resets!$O49-Volatilities_Resets!$M49)/50)*((Calculator!I60-Calculator!K$5)*10000)+Volatilities_Resets!$M49)),IF(I60&gt;=K$4,IF(I60&lt;L$4,(((Volatilities_Resets!$M49-Volatilities_Resets!$K49)/50)*((Calculator!I60-Calculator!K$4)*10000)+Volatilities_Resets!$K49)),IF(I60&gt;=K$3,IF(I60&lt;L$3,(((Volatilities_Resets!$K49-Volatilities_Resets!$I49)/50)*((Calculator!I60-Calculator!K$3)*10000)+Volatilities_Resets!$I49)),IF(I60&gt;=K$2,IF(I60&lt;L$2,(((Volatilities_Resets!$I49-Volatilities_Resets!$G49)/50)*((Calculator!I60-Calculator!K$2)*10000)+Volatilities_Resets!$G49)),"Well, something broke...")))))))))))/10000</f>
        <v>1.3188E-2</v>
      </c>
      <c r="L60" s="47">
        <f t="shared" ca="1" si="17"/>
        <v>37395.686078461971</v>
      </c>
      <c r="M60" s="63">
        <f t="shared" ca="1" si="18"/>
        <v>1.5002613141754709E-3</v>
      </c>
      <c r="N60" s="63">
        <f t="shared" ca="1" si="44"/>
        <v>2345580.3534094724</v>
      </c>
      <c r="Q60" s="63">
        <f t="shared" ca="1" si="19"/>
        <v>93.534917669835224</v>
      </c>
      <c r="R60" s="63">
        <f ca="1">SUM($Q$15:Q60)</f>
        <v>2723.7275815101611</v>
      </c>
      <c r="T60" s="52">
        <f ca="1">EXP(-AVERAGE(J$15:J60)*G60)</f>
        <v>0.84382172498446628</v>
      </c>
      <c r="U60" s="57"/>
      <c r="V60" s="52">
        <f t="shared" ca="1" si="20"/>
        <v>46</v>
      </c>
      <c r="W60" s="71">
        <f t="shared" ca="1" si="21"/>
        <v>46560</v>
      </c>
      <c r="X60" s="71">
        <f t="shared" ca="1" si="3"/>
        <v>46590</v>
      </c>
      <c r="Y60" s="72">
        <f t="shared" ca="1" si="4"/>
        <v>30</v>
      </c>
      <c r="Z60" s="73">
        <f ca="1">SUM(Y$15:Y60)/360</f>
        <v>3.8861111111111111</v>
      </c>
      <c r="AA60" s="74">
        <f t="shared" si="22"/>
        <v>25000000</v>
      </c>
      <c r="AB60" s="59">
        <f t="shared" si="23"/>
        <v>0.03</v>
      </c>
      <c r="AC60" s="57">
        <f>Volatilities_Resets!$E49*0.01</f>
        <v>3.73473E-2</v>
      </c>
      <c r="AD60" s="61">
        <f>IF(AB60=AE$11,Volatilities_Resets!$AA49,IF(AB60&gt;=AD$11,IF(AB60&lt;AE$11,(((Volatilities_Resets!$AA49-Volatilities_Resets!$Y49)/50)*((Calculator!AB60-Calculator!AD$11)*10000)+Volatilities_Resets!$Y49)),IF(AB60&gt;=AD$10,IF(AB60&lt;AE$10,(((Volatilities_Resets!$Y49-Volatilities_Resets!$W49)/50)*((Calculator!AB60-Calculator!AD$10)*10000)+Volatilities_Resets!$W49)),IF(AB60&gt;=AD$9,IF(AB60&lt;AE$9,(((Volatilities_Resets!$W49-Volatilities_Resets!$U49)/50)*((Calculator!AB60-Calculator!AD$9)*10000)+Volatilities_Resets!$U49)),IF(AB60&gt;=AD$8,IF(AB60&lt;AE$8,(((Volatilities_Resets!$U49-Volatilities_Resets!$S49)/50)*((Calculator!AB60-Calculator!AD$8)*10000)+Volatilities_Resets!$S49)),IF(AB60&gt;=AD$7,IF(AB60&lt;AE$7,(((Volatilities_Resets!$S49-Volatilities_Resets!$Q49)/50)*((Calculator!AB60-Calculator!AD$7)*10000)+Volatilities_Resets!$Q49)),IF(AB60&gt;=AD$6,IF(AB60&lt;AE$6,(((Volatilities_Resets!$Q49-Volatilities_Resets!$O49)/50)*((Calculator!AB60-Calculator!AD$6)*10000)+Volatilities_Resets!$O49)),IF(AB60&gt;=AD$5,IF(AB60&lt;AE$5,(((Volatilities_Resets!$O49-Volatilities_Resets!$M49)/50)*((Calculator!AB60-Calculator!AD$5)*10000)+Volatilities_Resets!$M49)),IF(AB60&gt;=AD$4,IF(AB60&lt;AE$4,(((Volatilities_Resets!$M49-Volatilities_Resets!$K49)/50)*((Calculator!AB60-Calculator!AD$4)*10000)+Volatilities_Resets!$K49)),IF(AB60&gt;=AD$3,IF(AB60&lt;AE$3,(((Volatilities_Resets!$K49-Volatilities_Resets!$I49)/50)*((Calculator!AB60-Calculator!AD$3)*10000)+Volatilities_Resets!$I49)),IF(AB60&gt;=AD$2,IF(AB60&lt;AE$2,(((Volatilities_Resets!$I49-Volatilities_Resets!$G49)/50)*((Calculator!AB60-Calculator!AD$2)*10000)+Volatilities_Resets!$G49)),"Well, something broke...")))))))))))/10000</f>
        <v>1.3197E-2</v>
      </c>
      <c r="AE60" s="63">
        <f t="shared" ca="1" si="24"/>
        <v>25426.328073565597</v>
      </c>
      <c r="AF60" s="63">
        <f t="shared" ca="1" si="25"/>
        <v>1.0223686647213392E-3</v>
      </c>
      <c r="AG60" s="63">
        <f t="shared" ca="1" si="45"/>
        <v>1611207.0435821826</v>
      </c>
      <c r="AJ60" s="63">
        <f t="shared" ca="1" si="26"/>
        <v>112.13424082356359</v>
      </c>
      <c r="AK60" s="63">
        <f ca="1">SUM($AJ$15:AJ60)</f>
        <v>3373.6608362638071</v>
      </c>
      <c r="AM60" s="52">
        <f ca="1">EXP(-AVERAGE(AC$15:AC60)*Z60)</f>
        <v>0.84382172498446628</v>
      </c>
      <c r="AO60" s="52">
        <f t="shared" ca="1" si="27"/>
        <v>46</v>
      </c>
      <c r="AP60" s="71">
        <f t="shared" ca="1" si="28"/>
        <v>46560</v>
      </c>
      <c r="AQ60" s="71">
        <f t="shared" ca="1" si="5"/>
        <v>46590</v>
      </c>
      <c r="AR60" s="72">
        <f t="shared" ca="1" si="6"/>
        <v>30</v>
      </c>
      <c r="AS60" s="73">
        <f ca="1">SUM(AR$15:AR60)/360</f>
        <v>3.8861111111111111</v>
      </c>
      <c r="AT60" s="74">
        <f t="shared" si="7"/>
        <v>25000000</v>
      </c>
      <c r="AU60" s="59">
        <f t="shared" si="29"/>
        <v>0.04</v>
      </c>
      <c r="AV60" s="57">
        <f>Volatilities_Resets!$E49*0.01</f>
        <v>3.73473E-2</v>
      </c>
      <c r="AW60" s="61">
        <f>IF(AU60=AX$11,Volatilities_Resets!$AA49,IF(AU60&gt;=AW$11,IF(AU60&lt;AX$11,(((Volatilities_Resets!$AA49-Volatilities_Resets!$Y49)/50)*((Calculator!AU60-Calculator!AW$11)*10000)+Volatilities_Resets!$Y49)),IF(AU60&gt;=AW$10,IF(AU60&lt;AX$10,(((Volatilities_Resets!$Y49-Volatilities_Resets!$W49)/50)*((Calculator!AU60-Calculator!AW$10)*10000)+Volatilities_Resets!$W49)),IF(AU60&gt;=AW$9,IF(AU60&lt;AX$9,(((Volatilities_Resets!$W49-Volatilities_Resets!$U49)/50)*((Calculator!AU60-Calculator!AW$9)*10000)+Volatilities_Resets!$U49)),IF(AU60&gt;=AW$8,IF(AU60&lt;AX$8,(((Volatilities_Resets!$U49-Volatilities_Resets!$S49)/50)*((Calculator!AU60-Calculator!AW$8)*10000)+Volatilities_Resets!$S49)),IF(AU60&gt;=AW$7,IF(AU60&lt;AX$7,(((Volatilities_Resets!$S49-Volatilities_Resets!$Q49)/50)*((Calculator!AU60-Calculator!AW$7)*10000)+Volatilities_Resets!$Q49)),IF(AU60&gt;=AW$6,IF(AU60&lt;AX$6,(((Volatilities_Resets!$Q49-Volatilities_Resets!$O49)/50)*((Calculator!AU60-Calculator!AW$6)*10000)+Volatilities_Resets!$O49)),IF(AU60&gt;=AW$5,IF(AU60&lt;AX$5,(((Volatilities_Resets!$O49-Volatilities_Resets!$M49)/50)*((Calculator!AU60-Calculator!AW$5)*10000)+Volatilities_Resets!$M49)),IF(AU60&gt;=AW$4,IF(AU60&lt;AX$4,(((Volatilities_Resets!$M49-Volatilities_Resets!$K49)/50)*((Calculator!AU60-Calculator!AW$4)*10000)+Volatilities_Resets!$K49)),IF(AU60&gt;=AW$3,IF(AU60&lt;AX$3,(((Volatilities_Resets!$K49-Volatilities_Resets!$I49)/50)*((Calculator!AU60-Calculator!AW$3)*10000)+Volatilities_Resets!$I49)),IF(AU60&gt;=AW$2,IF(AU60&lt;AX$2,(((Volatilities_Resets!$I49-Volatilities_Resets!$G49)/50)*((Calculator!AU60-Calculator!AW$2)*10000)+Volatilities_Resets!$G49)),"Well, something broke...")))))))))))/10000</f>
        <v>1.3521999999999999E-2</v>
      </c>
      <c r="AX60" s="63">
        <f t="shared" ca="1" si="30"/>
        <v>16455.501693886432</v>
      </c>
      <c r="AY60" s="63">
        <f t="shared" ca="1" si="31"/>
        <v>6.6372310491437088E-4</v>
      </c>
      <c r="AZ60" s="63">
        <f t="shared" ca="1" si="46"/>
        <v>949594.7347922076</v>
      </c>
      <c r="BC60" s="63">
        <f t="shared" ca="1" si="8"/>
        <v>116.08955770220125</v>
      </c>
      <c r="BD60" s="63">
        <f ca="1">SUM($BC$15:BC60)</f>
        <v>3749.4700598061322</v>
      </c>
      <c r="BF60" s="52">
        <f ca="1">EXP(-AVERAGE(AV$15:AV60)*AS60)</f>
        <v>0.84382172498446628</v>
      </c>
      <c r="BH60" s="52">
        <f t="shared" ca="1" si="32"/>
        <v>46</v>
      </c>
      <c r="BI60" s="71">
        <f t="shared" ca="1" si="33"/>
        <v>46560</v>
      </c>
      <c r="BJ60" s="71">
        <f t="shared" ca="1" si="9"/>
        <v>46590</v>
      </c>
      <c r="BK60" s="72">
        <f t="shared" ca="1" si="10"/>
        <v>30</v>
      </c>
      <c r="BL60" s="73">
        <f ca="1">SUM(BK$15:BK60)/360</f>
        <v>3.8861111111111111</v>
      </c>
      <c r="BM60" s="74">
        <f t="shared" si="11"/>
        <v>25000000</v>
      </c>
      <c r="BN60" s="59">
        <f t="shared" si="34"/>
        <v>0.05</v>
      </c>
      <c r="BO60" s="57">
        <f>Volatilities_Resets!$E49*0.01</f>
        <v>3.73473E-2</v>
      </c>
      <c r="BP60" s="61">
        <f>IF(BN60=BQ$11,Volatilities_Resets!$AA49,IF(BN60&gt;=BP$11,IF(BN60&lt;BQ$11,(((Volatilities_Resets!$AA49-Volatilities_Resets!$Y49)/50)*((Calculator!BN60-Calculator!BP$11)*10000)+Volatilities_Resets!$Y49)),IF(BN60&gt;=BP$10,IF(BN60&lt;BQ$10,(((Volatilities_Resets!$Y49-Volatilities_Resets!$W49)/50)*((Calculator!BN60-Calculator!BP$10)*10000)+Volatilities_Resets!$W49)),IF(BN60&gt;=BP$9,IF(BN60&lt;BQ$9,(((Volatilities_Resets!$W49-Volatilities_Resets!$U49)/50)*((Calculator!BN60-Calculator!BP$9)*10000)+Volatilities_Resets!$U49)),IF(BN60&gt;=BP$8,IF(BN60&lt;BQ$8,(((Volatilities_Resets!$U49-Volatilities_Resets!$S49)/50)*((Calculator!BN60-Calculator!BP$8)*10000)+Volatilities_Resets!$S49)),IF(BN60&gt;=BP$7,IF(BN60&lt;BQ$7,(((Volatilities_Resets!$S49-Volatilities_Resets!$Q49)/50)*((Calculator!BN60-Calculator!BP$7)*10000)+Volatilities_Resets!$Q49)),IF(BN60&gt;=BP$6,IF(BN60&lt;BQ$6,(((Volatilities_Resets!$Q49-Volatilities_Resets!$O49)/50)*((Calculator!BN60-Calculator!BP$6)*10000)+Volatilities_Resets!$O49)),IF(BN60&gt;=BP$5,IF(BN60&lt;BQ$5,(((Volatilities_Resets!$O49-Volatilities_Resets!$M49)/50)*((Calculator!BN60-Calculator!BP$5)*10000)+Volatilities_Resets!$M49)),IF(BN60&gt;=BP$4,IF(BN60&lt;BQ$4,(((Volatilities_Resets!$M49-Volatilities_Resets!$K49)/50)*((Calculator!BN60-Calculator!BP$4)*10000)+Volatilities_Resets!$K49)),IF(BN60&gt;=BP$3,IF(BN60&lt;BQ$3,(((Volatilities_Resets!$K49-Volatilities_Resets!$I49)/50)*((Calculator!BN60-Calculator!BP$3)*10000)+Volatilities_Resets!$I49)),IF(BN60&gt;=BP$2,IF(BN60&lt;BQ$2,(((Volatilities_Resets!$I49-Volatilities_Resets!$G49)/50)*((Calculator!BN60-Calculator!BP$2)*10000)+Volatilities_Resets!$G49)),"Well, something broke...")))))))))))/10000</f>
        <v>1.4177E-2</v>
      </c>
      <c r="BQ60" s="63">
        <f t="shared" ca="1" si="35"/>
        <v>10453.837581566118</v>
      </c>
      <c r="BR60" s="63">
        <f t="shared" ca="1" si="36"/>
        <v>4.2314856704303355E-4</v>
      </c>
      <c r="BS60" s="63">
        <f t="shared" ca="1" si="47"/>
        <v>431845.7206233773</v>
      </c>
      <c r="BV60" s="63">
        <f t="shared" ca="1" si="37"/>
        <v>105.37358338937844</v>
      </c>
      <c r="BW60" s="63">
        <f ca="1">SUM($BV$15:BV60)</f>
        <v>3747.2299799942707</v>
      </c>
      <c r="BY60" s="52">
        <f ca="1">EXP(-AVERAGE(BO$15:BO60)*BL60)</f>
        <v>0.84382172498446628</v>
      </c>
      <c r="CA60" s="52">
        <f t="shared" ca="1" si="38"/>
        <v>46</v>
      </c>
      <c r="CB60" s="71">
        <f t="shared" ca="1" si="39"/>
        <v>46560</v>
      </c>
      <c r="CC60" s="71">
        <f t="shared" ca="1" si="12"/>
        <v>46590</v>
      </c>
      <c r="CD60" s="72">
        <f t="shared" ca="1" si="13"/>
        <v>30</v>
      </c>
      <c r="CE60" s="73">
        <f ca="1">SUM(CD$15:CD60)/360</f>
        <v>3.8861111111111111</v>
      </c>
      <c r="CF60" s="74">
        <f t="shared" si="14"/>
        <v>25000000</v>
      </c>
      <c r="CG60" s="59">
        <f t="shared" si="40"/>
        <v>0.06</v>
      </c>
      <c r="CH60" s="57">
        <f>Volatilities_Resets!$E49*0.01</f>
        <v>3.73473E-2</v>
      </c>
      <c r="CI60" s="61">
        <f>IF(CG60=CJ$11,Volatilities_Resets!$AA49,IF(CG60&gt;=CI$11,IF(CG60&lt;CJ$11,(((Volatilities_Resets!$AA49-Volatilities_Resets!$Y49)/50)*((Calculator!CG60-Calculator!CI$11)*10000)+Volatilities_Resets!$Y49)),IF(CG60&gt;=CI$10,IF(CG60&lt;CJ$10,(((Volatilities_Resets!$Y49-Volatilities_Resets!$W49)/50)*((Calculator!CG60-Calculator!CI$10)*10000)+Volatilities_Resets!$W49)),IF(CG60&gt;=CI$9,IF(CG60&lt;CJ$9,(((Volatilities_Resets!$W49-Volatilities_Resets!$U49)/50)*((Calculator!CG60-Calculator!CI$9)*10000)+Volatilities_Resets!$U49)),IF(CG60&gt;=CI$8,IF(CG60&lt;CJ$8,(((Volatilities_Resets!$U49-Volatilities_Resets!$S49)/50)*((Calculator!CG60-Calculator!CI$8)*10000)+Volatilities_Resets!$S49)),IF(CG60&gt;=CI$7,IF(CG60&lt;CJ$7,(((Volatilities_Resets!$S49-Volatilities_Resets!$Q49)/50)*((Calculator!CG60-Calculator!CI$7)*10000)+Volatilities_Resets!$Q49)),IF(CG60&gt;=CI$6,IF(CG60&lt;CJ$6,(((Volatilities_Resets!$Q49-Volatilities_Resets!$O49)/50)*((Calculator!CG60-Calculator!CI$6)*10000)+Volatilities_Resets!$O49)),IF(CG60&gt;=CI$5,IF(CG60&lt;CJ$5,(((Volatilities_Resets!$O49-Volatilities_Resets!$M49)/50)*((Calculator!CG60-Calculator!CI$5)*10000)+Volatilities_Resets!$M49)),IF(CG60&gt;=CI$4,IF(CG60&lt;CJ$4,(((Volatilities_Resets!$M49-Volatilities_Resets!$K49)/50)*((Calculator!CG60-Calculator!CI$4)*10000)+Volatilities_Resets!$K49)),IF(CG60&gt;=CI$3,IF(CG60&lt;CJ$3,(((Volatilities_Resets!$K49-Volatilities_Resets!$I49)/50)*((Calculator!CG60-Calculator!CI$3)*10000)+Volatilities_Resets!$I49)),IF(CG60&gt;=CI$2,IF(CG60&lt;CJ$2,(((Volatilities_Resets!$I49-Volatilities_Resets!$G49)/50)*((Calculator!CG60-Calculator!CI$2)*10000)+Volatilities_Resets!$G49)),"Well, something broke...")))))))))))/10000</f>
        <v>1.5096E-2</v>
      </c>
      <c r="CJ60" s="63">
        <f t="shared" ca="1" si="41"/>
        <v>6730.2028160871978</v>
      </c>
      <c r="CK60" s="63">
        <f t="shared" ca="1" si="42"/>
        <v>2.7335520551917815E-4</v>
      </c>
      <c r="CL60" s="63">
        <f t="shared" ca="1" si="48"/>
        <v>168787.3456015804</v>
      </c>
      <c r="CO60" s="63">
        <f t="shared" ca="1" si="43"/>
        <v>87.485176600893183</v>
      </c>
      <c r="CP60" s="63">
        <f ca="1">SUM($CO$15:CO60)</f>
        <v>2741.8917110853217</v>
      </c>
      <c r="CR60" s="52">
        <f ca="1">EXP(-AVERAGE(CH$15:CH60)*CE60)</f>
        <v>0.84382172498446628</v>
      </c>
      <c r="CT60"/>
      <c r="CU60"/>
      <c r="CV60"/>
      <c r="CW60"/>
      <c r="CX60"/>
      <c r="CY60"/>
      <c r="CZ60"/>
      <c r="DA60"/>
      <c r="DB60"/>
      <c r="DC60"/>
      <c r="DD60"/>
      <c r="DE60"/>
      <c r="DF60"/>
      <c r="DG60"/>
      <c r="DH60"/>
      <c r="DI60"/>
      <c r="DJ60"/>
      <c r="DK60"/>
      <c r="DL60"/>
    </row>
    <row r="61" spans="2:116" ht="15.75" customHeight="1" x14ac:dyDescent="0.2">
      <c r="B61" s="52">
        <v>4</v>
      </c>
      <c r="C61" s="52">
        <f t="shared" ca="1" si="49"/>
        <v>47</v>
      </c>
      <c r="D61" s="71">
        <f t="shared" ca="1" si="16"/>
        <v>46590</v>
      </c>
      <c r="E61" s="71">
        <f t="shared" ca="1" si="50"/>
        <v>46621</v>
      </c>
      <c r="F61" s="72">
        <f t="shared" ca="1" si="51"/>
        <v>31</v>
      </c>
      <c r="G61" s="73">
        <f ca="1">SUM($F$15:F61)/360</f>
        <v>3.9722222222222223</v>
      </c>
      <c r="H61" s="74">
        <f t="shared" si="2"/>
        <v>25000000</v>
      </c>
      <c r="I61" s="59">
        <f>IF('Cap Pricer'!$E$22=DataValidation!$C$2,'Cap Pricer'!$E$23,IF('Cap Pricer'!$E$22=DataValidation!$C$3,VLOOKUP($B61,'Cap Pricer'!$C$25:$E$31,3),""))</f>
        <v>0.02</v>
      </c>
      <c r="J61" s="57">
        <f>Volatilities_Resets!$E50*0.01</f>
        <v>3.7345400000000001E-2</v>
      </c>
      <c r="K61" s="61">
        <f>IF(I61=L$11,Volatilities_Resets!$AA50,IF(I61&gt;=K$11,IF(I61&lt;L$11,(((Volatilities_Resets!$AA50-Volatilities_Resets!$Y50)/50)*((Calculator!I61-Calculator!K$11)*10000)+Volatilities_Resets!$Y50)),IF(I61&gt;=K$10,IF(I61&lt;L$10,(((Volatilities_Resets!$Y50-Volatilities_Resets!$W50)/50)*((Calculator!I61-Calculator!K$10)*10000)+Volatilities_Resets!$W50)),IF(I61&gt;=K$9,IF(I61&lt;L$9,(((Volatilities_Resets!$W50-Volatilities_Resets!$U50)/50)*((Calculator!I61-Calculator!K$9)*10000)+Volatilities_Resets!$U50)),IF(I61&gt;=K$8,IF(I61&lt;L$8,(((Volatilities_Resets!$U50-Volatilities_Resets!$S50)/50)*((Calculator!I61-Calculator!K$8)*10000)+Volatilities_Resets!$S50)),IF(I61&gt;=K$7,IF(I61&lt;L$7,(((Volatilities_Resets!$S50-Volatilities_Resets!$Q50)/50)*((Calculator!I61-Calculator!K$7)*10000)+Volatilities_Resets!$Q50)),IF(I61&gt;=K$6,IF(I61&lt;L$6,(((Volatilities_Resets!$Q50-Volatilities_Resets!$O50)/50)*((Calculator!I61-Calculator!K$6)*10000)+Volatilities_Resets!$O50)),IF(I61&gt;=K$5,IF(I61&lt;L$5,(((Volatilities_Resets!$O50-Volatilities_Resets!$M50)/50)*((Calculator!I61-Calculator!K$5)*10000)+Volatilities_Resets!$M50)),IF(I61&gt;=K$4,IF(I61&lt;L$4,(((Volatilities_Resets!$M50-Volatilities_Resets!$K50)/50)*((Calculator!I61-Calculator!K$4)*10000)+Volatilities_Resets!$K50)),IF(I61&gt;=K$3,IF(I61&lt;L$3,(((Volatilities_Resets!$K50-Volatilities_Resets!$I50)/50)*((Calculator!I61-Calculator!K$3)*10000)+Volatilities_Resets!$I50)),IF(I61&gt;=K$2,IF(I61&lt;L$2,(((Volatilities_Resets!$I50-Volatilities_Resets!$G50)/50)*((Calculator!I61-Calculator!K$2)*10000)+Volatilities_Resets!$G50)),"Well, something broke...")))))))))))/10000</f>
        <v>1.2952000000000002E-2</v>
      </c>
      <c r="L61" s="47">
        <f t="shared" ca="1" si="17"/>
        <v>38409.011791856501</v>
      </c>
      <c r="M61" s="63">
        <f t="shared" ca="1" si="18"/>
        <v>1.5409635066657506E-3</v>
      </c>
      <c r="N61" s="63">
        <f t="shared" ca="1" si="44"/>
        <v>2383989.3652013289</v>
      </c>
      <c r="Q61" s="63">
        <f t="shared" ca="1" si="19"/>
        <v>96.790772859521454</v>
      </c>
      <c r="R61" s="63">
        <f ca="1">SUM($Q$15:Q61)</f>
        <v>2820.5183543696826</v>
      </c>
      <c r="T61" s="52">
        <f ca="1">EXP(-AVERAGE(J$15:J61)*G61)</f>
        <v>0.84110395022809736</v>
      </c>
      <c r="U61" s="57"/>
      <c r="V61" s="52">
        <f t="shared" ca="1" si="20"/>
        <v>47</v>
      </c>
      <c r="W61" s="71">
        <f t="shared" ca="1" si="21"/>
        <v>46590</v>
      </c>
      <c r="X61" s="71">
        <f t="shared" ca="1" si="3"/>
        <v>46621</v>
      </c>
      <c r="Y61" s="72">
        <f t="shared" ca="1" si="4"/>
        <v>31</v>
      </c>
      <c r="Z61" s="73">
        <f ca="1">SUM(Y$15:Y61)/360</f>
        <v>3.9722222222222223</v>
      </c>
      <c r="AA61" s="74">
        <f t="shared" si="22"/>
        <v>25000000</v>
      </c>
      <c r="AB61" s="59">
        <f t="shared" si="23"/>
        <v>0.03</v>
      </c>
      <c r="AC61" s="57">
        <f>Volatilities_Resets!$E50*0.01</f>
        <v>3.7345400000000001E-2</v>
      </c>
      <c r="AD61" s="61">
        <f>IF(AB61=AE$11,Volatilities_Resets!$AA50,IF(AB61&gt;=AD$11,IF(AB61&lt;AE$11,(((Volatilities_Resets!$AA50-Volatilities_Resets!$Y50)/50)*((Calculator!AB61-Calculator!AD$11)*10000)+Volatilities_Resets!$Y50)),IF(AB61&gt;=AD$10,IF(AB61&lt;AE$10,(((Volatilities_Resets!$Y50-Volatilities_Resets!$W50)/50)*((Calculator!AB61-Calculator!AD$10)*10000)+Volatilities_Resets!$W50)),IF(AB61&gt;=AD$9,IF(AB61&lt;AE$9,(((Volatilities_Resets!$W50-Volatilities_Resets!$U50)/50)*((Calculator!AB61-Calculator!AD$9)*10000)+Volatilities_Resets!$U50)),IF(AB61&gt;=AD$8,IF(AB61&lt;AE$8,(((Volatilities_Resets!$U50-Volatilities_Resets!$S50)/50)*((Calculator!AB61-Calculator!AD$8)*10000)+Volatilities_Resets!$S50)),IF(AB61&gt;=AD$7,IF(AB61&lt;AE$7,(((Volatilities_Resets!$S50-Volatilities_Resets!$Q50)/50)*((Calculator!AB61-Calculator!AD$7)*10000)+Volatilities_Resets!$Q50)),IF(AB61&gt;=AD$6,IF(AB61&lt;AE$6,(((Volatilities_Resets!$Q50-Volatilities_Resets!$O50)/50)*((Calculator!AB61-Calculator!AD$6)*10000)+Volatilities_Resets!$O50)),IF(AB61&gt;=AD$5,IF(AB61&lt;AE$5,(((Volatilities_Resets!$O50-Volatilities_Resets!$M50)/50)*((Calculator!AB61-Calculator!AD$5)*10000)+Volatilities_Resets!$M50)),IF(AB61&gt;=AD$4,IF(AB61&lt;AE$4,(((Volatilities_Resets!$M50-Volatilities_Resets!$K50)/50)*((Calculator!AB61-Calculator!AD$4)*10000)+Volatilities_Resets!$K50)),IF(AB61&gt;=AD$3,IF(AB61&lt;AE$3,(((Volatilities_Resets!$K50-Volatilities_Resets!$I50)/50)*((Calculator!AB61-Calculator!AD$3)*10000)+Volatilities_Resets!$I50)),IF(AB61&gt;=AD$2,IF(AB61&lt;AE$2,(((Volatilities_Resets!$I50-Volatilities_Resets!$G50)/50)*((Calculator!AB61-Calculator!AD$2)*10000)+Volatilities_Resets!$G50)),"Well, something broke...")))))))))))/10000</f>
        <v>1.2950999999999999E-2</v>
      </c>
      <c r="AE61" s="63">
        <f t="shared" ca="1" si="24"/>
        <v>26045.841370351271</v>
      </c>
      <c r="AF61" s="63">
        <f t="shared" ca="1" si="25"/>
        <v>1.0473656951609993E-3</v>
      </c>
      <c r="AG61" s="63">
        <f t="shared" ca="1" si="45"/>
        <v>1637252.884952534</v>
      </c>
      <c r="AJ61" s="63">
        <f t="shared" ca="1" si="26"/>
        <v>116.32552471598723</v>
      </c>
      <c r="AK61" s="63">
        <f ca="1">SUM($AJ$15:AJ61)</f>
        <v>3489.9863609797944</v>
      </c>
      <c r="AM61" s="52">
        <f ca="1">EXP(-AVERAGE(AC$15:AC61)*Z61)</f>
        <v>0.84110395022809736</v>
      </c>
      <c r="AO61" s="52">
        <f t="shared" ca="1" si="27"/>
        <v>47</v>
      </c>
      <c r="AP61" s="71">
        <f t="shared" ca="1" si="28"/>
        <v>46590</v>
      </c>
      <c r="AQ61" s="71">
        <f t="shared" ca="1" si="5"/>
        <v>46621</v>
      </c>
      <c r="AR61" s="72">
        <f t="shared" ca="1" si="6"/>
        <v>31</v>
      </c>
      <c r="AS61" s="73">
        <f ca="1">SUM(AR$15:AR61)/360</f>
        <v>3.9722222222222223</v>
      </c>
      <c r="AT61" s="74">
        <f t="shared" si="7"/>
        <v>25000000</v>
      </c>
      <c r="AU61" s="59">
        <f t="shared" si="29"/>
        <v>0.04</v>
      </c>
      <c r="AV61" s="57">
        <f>Volatilities_Resets!$E50*0.01</f>
        <v>3.7345400000000001E-2</v>
      </c>
      <c r="AW61" s="61">
        <f>IF(AU61=AX$11,Volatilities_Resets!$AA50,IF(AU61&gt;=AW$11,IF(AU61&lt;AX$11,(((Volatilities_Resets!$AA50-Volatilities_Resets!$Y50)/50)*((Calculator!AU61-Calculator!AW$11)*10000)+Volatilities_Resets!$Y50)),IF(AU61&gt;=AW$10,IF(AU61&lt;AX$10,(((Volatilities_Resets!$Y50-Volatilities_Resets!$W50)/50)*((Calculator!AU61-Calculator!AW$10)*10000)+Volatilities_Resets!$W50)),IF(AU61&gt;=AW$9,IF(AU61&lt;AX$9,(((Volatilities_Resets!$W50-Volatilities_Resets!$U50)/50)*((Calculator!AU61-Calculator!AW$9)*10000)+Volatilities_Resets!$U50)),IF(AU61&gt;=AW$8,IF(AU61&lt;AX$8,(((Volatilities_Resets!$U50-Volatilities_Resets!$S50)/50)*((Calculator!AU61-Calculator!AW$8)*10000)+Volatilities_Resets!$S50)),IF(AU61&gt;=AW$7,IF(AU61&lt;AX$7,(((Volatilities_Resets!$S50-Volatilities_Resets!$Q50)/50)*((Calculator!AU61-Calculator!AW$7)*10000)+Volatilities_Resets!$Q50)),IF(AU61&gt;=AW$6,IF(AU61&lt;AX$6,(((Volatilities_Resets!$Q50-Volatilities_Resets!$O50)/50)*((Calculator!AU61-Calculator!AW$6)*10000)+Volatilities_Resets!$O50)),IF(AU61&gt;=AW$5,IF(AU61&lt;AX$5,(((Volatilities_Resets!$O50-Volatilities_Resets!$M50)/50)*((Calculator!AU61-Calculator!AW$5)*10000)+Volatilities_Resets!$M50)),IF(AU61&gt;=AW$4,IF(AU61&lt;AX$4,(((Volatilities_Resets!$M50-Volatilities_Resets!$K50)/50)*((Calculator!AU61-Calculator!AW$4)*10000)+Volatilities_Resets!$K50)),IF(AU61&gt;=AW$3,IF(AU61&lt;AX$3,(((Volatilities_Resets!$K50-Volatilities_Resets!$I50)/50)*((Calculator!AU61-Calculator!AW$3)*10000)+Volatilities_Resets!$I50)),IF(AU61&gt;=AW$2,IF(AU61&lt;AX$2,(((Volatilities_Resets!$I50-Volatilities_Resets!$G50)/50)*((Calculator!AU61-Calculator!AW$2)*10000)+Volatilities_Resets!$G50)),"Well, something broke...")))))))))))/10000</f>
        <v>1.3280999999999999E-2</v>
      </c>
      <c r="AX61" s="63">
        <f t="shared" ca="1" si="30"/>
        <v>16813.539724653638</v>
      </c>
      <c r="AY61" s="63">
        <f t="shared" ca="1" si="31"/>
        <v>6.7827176546719217E-4</v>
      </c>
      <c r="AZ61" s="63">
        <f t="shared" ca="1" si="46"/>
        <v>966408.27451686119</v>
      </c>
      <c r="BC61" s="63">
        <f t="shared" ca="1" si="8"/>
        <v>120.49185184281286</v>
      </c>
      <c r="BD61" s="63">
        <f ca="1">SUM($BC$15:BC61)</f>
        <v>3869.9619116489453</v>
      </c>
      <c r="BF61" s="52">
        <f ca="1">EXP(-AVERAGE(AV$15:AV61)*AS61)</f>
        <v>0.84110395022809736</v>
      </c>
      <c r="BH61" s="52">
        <f t="shared" ca="1" si="32"/>
        <v>47</v>
      </c>
      <c r="BI61" s="71">
        <f t="shared" ca="1" si="33"/>
        <v>46590</v>
      </c>
      <c r="BJ61" s="71">
        <f t="shared" ca="1" si="9"/>
        <v>46621</v>
      </c>
      <c r="BK61" s="72">
        <f t="shared" ca="1" si="10"/>
        <v>31</v>
      </c>
      <c r="BL61" s="73">
        <f ca="1">SUM(BK$15:BK61)/360</f>
        <v>3.9722222222222223</v>
      </c>
      <c r="BM61" s="74">
        <f t="shared" si="11"/>
        <v>25000000</v>
      </c>
      <c r="BN61" s="59">
        <f t="shared" si="34"/>
        <v>0.05</v>
      </c>
      <c r="BO61" s="57">
        <f>Volatilities_Resets!$E50*0.01</f>
        <v>3.7345400000000001E-2</v>
      </c>
      <c r="BP61" s="61">
        <f>IF(BN61=BQ$11,Volatilities_Resets!$AA50,IF(BN61&gt;=BP$11,IF(BN61&lt;BQ$11,(((Volatilities_Resets!$AA50-Volatilities_Resets!$Y50)/50)*((Calculator!BN61-Calculator!BP$11)*10000)+Volatilities_Resets!$Y50)),IF(BN61&gt;=BP$10,IF(BN61&lt;BQ$10,(((Volatilities_Resets!$Y50-Volatilities_Resets!$W50)/50)*((Calculator!BN61-Calculator!BP$10)*10000)+Volatilities_Resets!$W50)),IF(BN61&gt;=BP$9,IF(BN61&lt;BQ$9,(((Volatilities_Resets!$W50-Volatilities_Resets!$U50)/50)*((Calculator!BN61-Calculator!BP$9)*10000)+Volatilities_Resets!$U50)),IF(BN61&gt;=BP$8,IF(BN61&lt;BQ$8,(((Volatilities_Resets!$U50-Volatilities_Resets!$S50)/50)*((Calculator!BN61-Calculator!BP$8)*10000)+Volatilities_Resets!$S50)),IF(BN61&gt;=BP$7,IF(BN61&lt;BQ$7,(((Volatilities_Resets!$S50-Volatilities_Resets!$Q50)/50)*((Calculator!BN61-Calculator!BP$7)*10000)+Volatilities_Resets!$Q50)),IF(BN61&gt;=BP$6,IF(BN61&lt;BQ$6,(((Volatilities_Resets!$Q50-Volatilities_Resets!$O50)/50)*((Calculator!BN61-Calculator!BP$6)*10000)+Volatilities_Resets!$O50)),IF(BN61&gt;=BP$5,IF(BN61&lt;BQ$5,(((Volatilities_Resets!$O50-Volatilities_Resets!$M50)/50)*((Calculator!BN61-Calculator!BP$5)*10000)+Volatilities_Resets!$M50)),IF(BN61&gt;=BP$4,IF(BN61&lt;BQ$4,(((Volatilities_Resets!$M50-Volatilities_Resets!$K50)/50)*((Calculator!BN61-Calculator!BP$4)*10000)+Volatilities_Resets!$K50)),IF(BN61&gt;=BP$3,IF(BN61&lt;BQ$3,(((Volatilities_Resets!$K50-Volatilities_Resets!$I50)/50)*((Calculator!BN61-Calculator!BP$3)*10000)+Volatilities_Resets!$I50)),IF(BN61&gt;=BP$2,IF(BN61&lt;BQ$2,(((Volatilities_Resets!$I50-Volatilities_Resets!$G50)/50)*((Calculator!BN61-Calculator!BP$2)*10000)+Volatilities_Resets!$G50)),"Well, something broke...")))))))))))/10000</f>
        <v>1.3953999999999999E-2</v>
      </c>
      <c r="BQ61" s="63">
        <f t="shared" ca="1" si="35"/>
        <v>10677.432374424296</v>
      </c>
      <c r="BR61" s="63">
        <f t="shared" ca="1" si="36"/>
        <v>4.3229361962593014E-4</v>
      </c>
      <c r="BS61" s="63">
        <f t="shared" ca="1" si="47"/>
        <v>442523.1529978016</v>
      </c>
      <c r="BV61" s="63">
        <f t="shared" ca="1" si="37"/>
        <v>109.26622972266213</v>
      </c>
      <c r="BW61" s="63">
        <f ca="1">SUM($BV$15:BV61)</f>
        <v>3856.4962097169328</v>
      </c>
      <c r="BY61" s="52">
        <f ca="1">EXP(-AVERAGE(BO$15:BO61)*BL61)</f>
        <v>0.84110395022809736</v>
      </c>
      <c r="CA61" s="52">
        <f t="shared" ca="1" si="38"/>
        <v>47</v>
      </c>
      <c r="CB61" s="71">
        <f t="shared" ca="1" si="39"/>
        <v>46590</v>
      </c>
      <c r="CC61" s="71">
        <f t="shared" ca="1" si="12"/>
        <v>46621</v>
      </c>
      <c r="CD61" s="72">
        <f t="shared" ca="1" si="13"/>
        <v>31</v>
      </c>
      <c r="CE61" s="73">
        <f ca="1">SUM(CD$15:CD61)/360</f>
        <v>3.9722222222222223</v>
      </c>
      <c r="CF61" s="74">
        <f t="shared" si="14"/>
        <v>25000000</v>
      </c>
      <c r="CG61" s="59">
        <f t="shared" si="40"/>
        <v>0.06</v>
      </c>
      <c r="CH61" s="57">
        <f>Volatilities_Resets!$E50*0.01</f>
        <v>3.7345400000000001E-2</v>
      </c>
      <c r="CI61" s="61">
        <f>IF(CG61=CJ$11,Volatilities_Resets!$AA50,IF(CG61&gt;=CI$11,IF(CG61&lt;CJ$11,(((Volatilities_Resets!$AA50-Volatilities_Resets!$Y50)/50)*((Calculator!CG61-Calculator!CI$11)*10000)+Volatilities_Resets!$Y50)),IF(CG61&gt;=CI$10,IF(CG61&lt;CJ$10,(((Volatilities_Resets!$Y50-Volatilities_Resets!$W50)/50)*((Calculator!CG61-Calculator!CI$10)*10000)+Volatilities_Resets!$W50)),IF(CG61&gt;=CI$9,IF(CG61&lt;CJ$9,(((Volatilities_Resets!$W50-Volatilities_Resets!$U50)/50)*((Calculator!CG61-Calculator!CI$9)*10000)+Volatilities_Resets!$U50)),IF(CG61&gt;=CI$8,IF(CG61&lt;CJ$8,(((Volatilities_Resets!$U50-Volatilities_Resets!$S50)/50)*((Calculator!CG61-Calculator!CI$8)*10000)+Volatilities_Resets!$S50)),IF(CG61&gt;=CI$7,IF(CG61&lt;CJ$7,(((Volatilities_Resets!$S50-Volatilities_Resets!$Q50)/50)*((Calculator!CG61-Calculator!CI$7)*10000)+Volatilities_Resets!$Q50)),IF(CG61&gt;=CI$6,IF(CG61&lt;CJ$6,(((Volatilities_Resets!$Q50-Volatilities_Resets!$O50)/50)*((Calculator!CG61-Calculator!CI$6)*10000)+Volatilities_Resets!$O50)),IF(CG61&gt;=CI$5,IF(CG61&lt;CJ$5,(((Volatilities_Resets!$O50-Volatilities_Resets!$M50)/50)*((Calculator!CG61-Calculator!CI$5)*10000)+Volatilities_Resets!$M50)),IF(CG61&gt;=CI$4,IF(CG61&lt;CJ$4,(((Volatilities_Resets!$M50-Volatilities_Resets!$K50)/50)*((Calculator!CG61-Calculator!CI$4)*10000)+Volatilities_Resets!$K50)),IF(CG61&gt;=CI$3,IF(CG61&lt;CJ$3,(((Volatilities_Resets!$K50-Volatilities_Resets!$I50)/50)*((Calculator!CG61-Calculator!CI$3)*10000)+Volatilities_Resets!$I50)),IF(CG61&gt;=CI$2,IF(CG61&lt;CJ$2,(((Volatilities_Resets!$I50-Volatilities_Resets!$G50)/50)*((Calculator!CG61-Calculator!CI$2)*10000)+Volatilities_Resets!$G50)),"Well, something broke...")))))))))))/10000</f>
        <v>1.4897000000000001E-2</v>
      </c>
      <c r="CJ61" s="63">
        <f t="shared" ca="1" si="41"/>
        <v>6894.2519011882468</v>
      </c>
      <c r="CK61" s="63">
        <f t="shared" ca="1" si="42"/>
        <v>2.8008281440626082E-4</v>
      </c>
      <c r="CL61" s="63">
        <f t="shared" ca="1" si="48"/>
        <v>175681.59750276865</v>
      </c>
      <c r="CO61" s="63">
        <f t="shared" ca="1" si="43"/>
        <v>90.686531745721069</v>
      </c>
      <c r="CP61" s="63">
        <f ca="1">SUM($CO$15:CO61)</f>
        <v>2832.5782428310426</v>
      </c>
      <c r="CR61" s="52">
        <f ca="1">EXP(-AVERAGE(CH$15:CH61)*CE61)</f>
        <v>0.84110395022809736</v>
      </c>
      <c r="CT61"/>
      <c r="CU61"/>
      <c r="CV61"/>
      <c r="CW61"/>
      <c r="CX61"/>
      <c r="CY61"/>
      <c r="CZ61"/>
      <c r="DA61"/>
      <c r="DB61"/>
      <c r="DC61"/>
      <c r="DD61"/>
      <c r="DE61"/>
      <c r="DF61"/>
      <c r="DG61"/>
      <c r="DH61"/>
      <c r="DI61"/>
      <c r="DJ61"/>
      <c r="DK61"/>
      <c r="DL61"/>
    </row>
    <row r="62" spans="2:116" ht="15.75" customHeight="1" x14ac:dyDescent="0.2">
      <c r="B62" s="52">
        <v>4</v>
      </c>
      <c r="C62" s="75">
        <f t="shared" ca="1" si="49"/>
        <v>48</v>
      </c>
      <c r="D62" s="76">
        <f t="shared" ca="1" si="16"/>
        <v>46621</v>
      </c>
      <c r="E62" s="76">
        <f t="shared" ca="1" si="50"/>
        <v>46652</v>
      </c>
      <c r="F62" s="77">
        <f t="shared" ca="1" si="51"/>
        <v>31</v>
      </c>
      <c r="G62" s="78">
        <f ca="1">SUM($F$15:F62)/360</f>
        <v>4.0583333333333336</v>
      </c>
      <c r="H62" s="79">
        <f t="shared" si="2"/>
        <v>25000000</v>
      </c>
      <c r="I62" s="80">
        <f>IF('Cap Pricer'!$E$22=DataValidation!$C$2,'Cap Pricer'!$E$23,IF('Cap Pricer'!$E$22=DataValidation!$C$3,VLOOKUP($B62,'Cap Pricer'!$C$25:$E$31,3),""))</f>
        <v>0.02</v>
      </c>
      <c r="J62" s="81">
        <f>Volatilities_Resets!$E51*0.01</f>
        <v>3.7349300000000002E-2</v>
      </c>
      <c r="K62" s="82">
        <f>IF(I62=L$11,Volatilities_Resets!$AA51,IF(I62&gt;=K$11,IF(I62&lt;L$11,(((Volatilities_Resets!$AA51-Volatilities_Resets!$Y51)/50)*((Calculator!I62-Calculator!K$11)*10000)+Volatilities_Resets!$Y51)),IF(I62&gt;=K$10,IF(I62&lt;L$10,(((Volatilities_Resets!$Y51-Volatilities_Resets!$W51)/50)*((Calculator!I62-Calculator!K$10)*10000)+Volatilities_Resets!$W51)),IF(I62&gt;=K$9,IF(I62&lt;L$9,(((Volatilities_Resets!$W51-Volatilities_Resets!$U51)/50)*((Calculator!I62-Calculator!K$9)*10000)+Volatilities_Resets!$U51)),IF(I62&gt;=K$8,IF(I62&lt;L$8,(((Volatilities_Resets!$U51-Volatilities_Resets!$S51)/50)*((Calculator!I62-Calculator!K$8)*10000)+Volatilities_Resets!$S51)),IF(I62&gt;=K$7,IF(I62&lt;L$7,(((Volatilities_Resets!$S51-Volatilities_Resets!$Q51)/50)*((Calculator!I62-Calculator!K$7)*10000)+Volatilities_Resets!$Q51)),IF(I62&gt;=K$6,IF(I62&lt;L$6,(((Volatilities_Resets!$Q51-Volatilities_Resets!$O51)/50)*((Calculator!I62-Calculator!K$6)*10000)+Volatilities_Resets!$O51)),IF(I62&gt;=K$5,IF(I62&lt;L$5,(((Volatilities_Resets!$O51-Volatilities_Resets!$M51)/50)*((Calculator!I62-Calculator!K$5)*10000)+Volatilities_Resets!$M51)),IF(I62&gt;=K$4,IF(I62&lt;L$4,(((Volatilities_Resets!$M51-Volatilities_Resets!$K51)/50)*((Calculator!I62-Calculator!K$4)*10000)+Volatilities_Resets!$K51)),IF(I62&gt;=K$3,IF(I62&lt;L$3,(((Volatilities_Resets!$K51-Volatilities_Resets!$I51)/50)*((Calculator!I62-Calculator!K$3)*10000)+Volatilities_Resets!$I51)),IF(I62&gt;=K$2,IF(I62&lt;L$2,(((Volatilities_Resets!$I51-Volatilities_Resets!$G51)/50)*((Calculator!I62-Calculator!K$2)*10000)+Volatilities_Resets!$G51)),"Well, something broke...")))))))))))/10000</f>
        <v>1.2699E-2</v>
      </c>
      <c r="L62" s="83">
        <f t="shared" ca="1" si="17"/>
        <v>38157.933384582961</v>
      </c>
      <c r="M62" s="84">
        <f t="shared" ca="1" si="18"/>
        <v>1.5309358587364916E-3</v>
      </c>
      <c r="N62" s="84">
        <f t="shared" ca="1" si="44"/>
        <v>2422147.2985859117</v>
      </c>
      <c r="O62" s="84">
        <f ca="1">SUM(L51:L62)</f>
        <v>452474.2000292195</v>
      </c>
      <c r="P62" s="49"/>
      <c r="Q62" s="84">
        <f t="shared" ca="1" si="19"/>
        <v>96.803672918998174</v>
      </c>
      <c r="R62" s="84">
        <f ca="1">SUM($Q$15:Q62)</f>
        <v>2917.3220272886806</v>
      </c>
      <c r="T62" s="52">
        <f ca="1">EXP(-AVERAGE(J$15:J62)*G62)</f>
        <v>0.83839500651210785</v>
      </c>
      <c r="U62" s="57"/>
      <c r="V62" s="75">
        <f t="shared" ca="1" si="20"/>
        <v>48</v>
      </c>
      <c r="W62" s="76">
        <f t="shared" ca="1" si="21"/>
        <v>46621</v>
      </c>
      <c r="X62" s="76">
        <f t="shared" ca="1" si="3"/>
        <v>46652</v>
      </c>
      <c r="Y62" s="77">
        <f t="shared" ca="1" si="4"/>
        <v>31</v>
      </c>
      <c r="Z62" s="78">
        <f ca="1">SUM(Y$15:Y62)/360</f>
        <v>4.0583333333333336</v>
      </c>
      <c r="AA62" s="79">
        <f t="shared" si="22"/>
        <v>25000000</v>
      </c>
      <c r="AB62" s="80">
        <f t="shared" si="23"/>
        <v>0.03</v>
      </c>
      <c r="AC62" s="81">
        <f>Volatilities_Resets!$E51*0.01</f>
        <v>3.7349300000000002E-2</v>
      </c>
      <c r="AD62" s="82">
        <f>IF(AB62=AE$11,Volatilities_Resets!$AA51,IF(AB62&gt;=AD$11,IF(AB62&lt;AE$11,(((Volatilities_Resets!$AA51-Volatilities_Resets!$Y51)/50)*((Calculator!AB62-Calculator!AD$11)*10000)+Volatilities_Resets!$Y51)),IF(AB62&gt;=AD$10,IF(AB62&lt;AE$10,(((Volatilities_Resets!$Y51-Volatilities_Resets!$W51)/50)*((Calculator!AB62-Calculator!AD$10)*10000)+Volatilities_Resets!$W51)),IF(AB62&gt;=AD$9,IF(AB62&lt;AE$9,(((Volatilities_Resets!$W51-Volatilities_Resets!$U51)/50)*((Calculator!AB62-Calculator!AD$9)*10000)+Volatilities_Resets!$U51)),IF(AB62&gt;=AD$8,IF(AB62&lt;AE$8,(((Volatilities_Resets!$U51-Volatilities_Resets!$S51)/50)*((Calculator!AB62-Calculator!AD$8)*10000)+Volatilities_Resets!$S51)),IF(AB62&gt;=AD$7,IF(AB62&lt;AE$7,(((Volatilities_Resets!$S51-Volatilities_Resets!$Q51)/50)*((Calculator!AB62-Calculator!AD$7)*10000)+Volatilities_Resets!$Q51)),IF(AB62&gt;=AD$6,IF(AB62&lt;AE$6,(((Volatilities_Resets!$Q51-Volatilities_Resets!$O51)/50)*((Calculator!AB62-Calculator!AD$6)*10000)+Volatilities_Resets!$O51)),IF(AB62&gt;=AD$5,IF(AB62&lt;AE$5,(((Volatilities_Resets!$O51-Volatilities_Resets!$M51)/50)*((Calculator!AB62-Calculator!AD$5)*10000)+Volatilities_Resets!$M51)),IF(AB62&gt;=AD$4,IF(AB62&lt;AE$4,(((Volatilities_Resets!$M51-Volatilities_Resets!$K51)/50)*((Calculator!AB62-Calculator!AD$4)*10000)+Volatilities_Resets!$K51)),IF(AB62&gt;=AD$3,IF(AB62&lt;AE$3,(((Volatilities_Resets!$K51-Volatilities_Resets!$I51)/50)*((Calculator!AB62-Calculator!AD$3)*10000)+Volatilities_Resets!$I51)),IF(AB62&gt;=AD$2,IF(AB62&lt;AE$2,(((Volatilities_Resets!$I51-Volatilities_Resets!$G51)/50)*((Calculator!AB62-Calculator!AD$2)*10000)+Volatilities_Resets!$G51)),"Well, something broke...")))))))))))/10000</f>
        <v>1.2687E-2</v>
      </c>
      <c r="AE62" s="84">
        <f t="shared" ca="1" si="24"/>
        <v>25791.01506043167</v>
      </c>
      <c r="AF62" s="84">
        <f t="shared" ca="1" si="25"/>
        <v>1.037209604974723E-3</v>
      </c>
      <c r="AG62" s="84">
        <f t="shared" ca="1" si="45"/>
        <v>1663043.9000129655</v>
      </c>
      <c r="AH62" s="84">
        <f ca="1">SUM(AE51:AE62)</f>
        <v>303445.76675423142</v>
      </c>
      <c r="AI62" s="49"/>
      <c r="AJ62" s="84">
        <f t="shared" ca="1" si="26"/>
        <v>116.72559838561034</v>
      </c>
      <c r="AK62" s="84">
        <f ca="1">SUM($AJ$15:AJ62)</f>
        <v>3606.7119593654047</v>
      </c>
      <c r="AM62" s="52">
        <f ca="1">EXP(-AVERAGE(AC$15:AC62)*Z62)</f>
        <v>0.83839500651210785</v>
      </c>
      <c r="AO62" s="75">
        <f t="shared" ca="1" si="27"/>
        <v>48</v>
      </c>
      <c r="AP62" s="76">
        <f t="shared" ca="1" si="28"/>
        <v>46621</v>
      </c>
      <c r="AQ62" s="76">
        <f t="shared" ca="1" si="5"/>
        <v>46652</v>
      </c>
      <c r="AR62" s="77">
        <f t="shared" ca="1" si="6"/>
        <v>31</v>
      </c>
      <c r="AS62" s="78">
        <f ca="1">SUM(AR$15:AR62)/360</f>
        <v>4.0583333333333336</v>
      </c>
      <c r="AT62" s="79">
        <f t="shared" si="7"/>
        <v>25000000</v>
      </c>
      <c r="AU62" s="80">
        <f t="shared" si="29"/>
        <v>0.04</v>
      </c>
      <c r="AV62" s="81">
        <f>Volatilities_Resets!$E51*0.01</f>
        <v>3.7349300000000002E-2</v>
      </c>
      <c r="AW62" s="82">
        <f>IF(AU62=AX$11,Volatilities_Resets!$AA51,IF(AU62&gt;=AW$11,IF(AU62&lt;AX$11,(((Volatilities_Resets!$AA51-Volatilities_Resets!$Y51)/50)*((Calculator!AU62-Calculator!AW$11)*10000)+Volatilities_Resets!$Y51)),IF(AU62&gt;=AW$10,IF(AU62&lt;AX$10,(((Volatilities_Resets!$Y51-Volatilities_Resets!$W51)/50)*((Calculator!AU62-Calculator!AW$10)*10000)+Volatilities_Resets!$W51)),IF(AU62&gt;=AW$9,IF(AU62&lt;AX$9,(((Volatilities_Resets!$W51-Volatilities_Resets!$U51)/50)*((Calculator!AU62-Calculator!AW$9)*10000)+Volatilities_Resets!$U51)),IF(AU62&gt;=AW$8,IF(AU62&lt;AX$8,(((Volatilities_Resets!$U51-Volatilities_Resets!$S51)/50)*((Calculator!AU62-Calculator!AW$8)*10000)+Volatilities_Resets!$S51)),IF(AU62&gt;=AW$7,IF(AU62&lt;AX$7,(((Volatilities_Resets!$S51-Volatilities_Resets!$Q51)/50)*((Calculator!AU62-Calculator!AW$7)*10000)+Volatilities_Resets!$Q51)),IF(AU62&gt;=AW$6,IF(AU62&lt;AX$6,(((Volatilities_Resets!$Q51-Volatilities_Resets!$O51)/50)*((Calculator!AU62-Calculator!AW$6)*10000)+Volatilities_Resets!$O51)),IF(AU62&gt;=AW$5,IF(AU62&lt;AX$5,(((Volatilities_Resets!$O51-Volatilities_Resets!$M51)/50)*((Calculator!AU62-Calculator!AW$5)*10000)+Volatilities_Resets!$M51)),IF(AU62&gt;=AW$4,IF(AU62&lt;AX$4,(((Volatilities_Resets!$M51-Volatilities_Resets!$K51)/50)*((Calculator!AU62-Calculator!AW$4)*10000)+Volatilities_Resets!$K51)),IF(AU62&gt;=AW$3,IF(AU62&lt;AX$3,(((Volatilities_Resets!$K51-Volatilities_Resets!$I51)/50)*((Calculator!AU62-Calculator!AW$3)*10000)+Volatilities_Resets!$I51)),IF(AU62&gt;=AW$2,IF(AU62&lt;AX$2,(((Volatilities_Resets!$I51-Volatilities_Resets!$G51)/50)*((Calculator!AU62-Calculator!AW$2)*10000)+Volatilities_Resets!$G51)),"Well, something broke...")))))))))))/10000</f>
        <v>1.3022000000000001E-2</v>
      </c>
      <c r="AX62" s="84">
        <f t="shared" ca="1" si="30"/>
        <v>16593.272719677923</v>
      </c>
      <c r="AY62" s="84">
        <f t="shared" ca="1" si="31"/>
        <v>6.6950377723630874E-4</v>
      </c>
      <c r="AZ62" s="84">
        <f t="shared" ca="1" si="46"/>
        <v>983001.54723653907</v>
      </c>
      <c r="BA62" s="84">
        <f ca="1">SUM(AX51:AX62)</f>
        <v>192472.82935331418</v>
      </c>
      <c r="BB62" s="49"/>
      <c r="BC62" s="84">
        <f t="shared" ca="1" si="8"/>
        <v>120.99860202634288</v>
      </c>
      <c r="BD62" s="84">
        <f ca="1">SUM($BC$15:BC62)</f>
        <v>3990.960513675288</v>
      </c>
      <c r="BF62" s="52">
        <f ca="1">EXP(-AVERAGE(AV$15:AV62)*AS62)</f>
        <v>0.83839500651210785</v>
      </c>
      <c r="BH62" s="75">
        <f t="shared" ca="1" si="32"/>
        <v>48</v>
      </c>
      <c r="BI62" s="76">
        <f t="shared" ca="1" si="33"/>
        <v>46621</v>
      </c>
      <c r="BJ62" s="76">
        <f t="shared" ca="1" si="9"/>
        <v>46652</v>
      </c>
      <c r="BK62" s="77">
        <f t="shared" ca="1" si="10"/>
        <v>31</v>
      </c>
      <c r="BL62" s="78">
        <f ca="1">SUM(BK$15:BK62)/360</f>
        <v>4.0583333333333336</v>
      </c>
      <c r="BM62" s="79">
        <f t="shared" si="11"/>
        <v>25000000</v>
      </c>
      <c r="BN62" s="80">
        <f t="shared" si="34"/>
        <v>0.05</v>
      </c>
      <c r="BO62" s="81">
        <f>Volatilities_Resets!$E51*0.01</f>
        <v>3.7349300000000002E-2</v>
      </c>
      <c r="BP62" s="82">
        <f>IF(BN62=BQ$11,Volatilities_Resets!$AA51,IF(BN62&gt;=BP$11,IF(BN62&lt;BQ$11,(((Volatilities_Resets!$AA51-Volatilities_Resets!$Y51)/50)*((Calculator!BN62-Calculator!BP$11)*10000)+Volatilities_Resets!$Y51)),IF(BN62&gt;=BP$10,IF(BN62&lt;BQ$10,(((Volatilities_Resets!$Y51-Volatilities_Resets!$W51)/50)*((Calculator!BN62-Calculator!BP$10)*10000)+Volatilities_Resets!$W51)),IF(BN62&gt;=BP$9,IF(BN62&lt;BQ$9,(((Volatilities_Resets!$W51-Volatilities_Resets!$U51)/50)*((Calculator!BN62-Calculator!BP$9)*10000)+Volatilities_Resets!$U51)),IF(BN62&gt;=BP$8,IF(BN62&lt;BQ$8,(((Volatilities_Resets!$U51-Volatilities_Resets!$S51)/50)*((Calculator!BN62-Calculator!BP$8)*10000)+Volatilities_Resets!$S51)),IF(BN62&gt;=BP$7,IF(BN62&lt;BQ$7,(((Volatilities_Resets!$S51-Volatilities_Resets!$Q51)/50)*((Calculator!BN62-Calculator!BP$7)*10000)+Volatilities_Resets!$Q51)),IF(BN62&gt;=BP$6,IF(BN62&lt;BQ$6,(((Volatilities_Resets!$Q51-Volatilities_Resets!$O51)/50)*((Calculator!BN62-Calculator!BP$6)*10000)+Volatilities_Resets!$O51)),IF(BN62&gt;=BP$5,IF(BN62&lt;BQ$5,(((Volatilities_Resets!$O51-Volatilities_Resets!$M51)/50)*((Calculator!BN62-Calculator!BP$5)*10000)+Volatilities_Resets!$M51)),IF(BN62&gt;=BP$4,IF(BN62&lt;BQ$4,(((Volatilities_Resets!$M51-Volatilities_Resets!$K51)/50)*((Calculator!BN62-Calculator!BP$4)*10000)+Volatilities_Resets!$K51)),IF(BN62&gt;=BP$3,IF(BN62&lt;BQ$3,(((Volatilities_Resets!$K51-Volatilities_Resets!$I51)/50)*((Calculator!BN62-Calculator!BP$3)*10000)+Volatilities_Resets!$I51)),IF(BN62&gt;=BP$2,IF(BN62&lt;BQ$2,(((Volatilities_Resets!$I51-Volatilities_Resets!$G51)/50)*((Calculator!BN62-Calculator!BP$2)*10000)+Volatilities_Resets!$G51)),"Well, something broke...")))))))))))/10000</f>
        <v>1.3715E-2</v>
      </c>
      <c r="BQ62" s="84">
        <f t="shared" ca="1" si="35"/>
        <v>10527.473503397166</v>
      </c>
      <c r="BR62" s="84">
        <f t="shared" ca="1" si="36"/>
        <v>4.2632767937960975E-4</v>
      </c>
      <c r="BS62" s="84">
        <f t="shared" ca="1" si="47"/>
        <v>453050.62650119874</v>
      </c>
      <c r="BT62" s="84">
        <f ca="1">SUM(BQ51:BQ62)</f>
        <v>119275.96634428333</v>
      </c>
      <c r="BU62" s="49"/>
      <c r="BV62" s="84">
        <f t="shared" ca="1" si="37"/>
        <v>109.59372180728396</v>
      </c>
      <c r="BW62" s="84">
        <f ca="1">SUM($BV$15:BV62)</f>
        <v>3966.0899315242168</v>
      </c>
      <c r="BY62" s="52">
        <f ca="1">EXP(-AVERAGE(BO$15:BO62)*BL62)</f>
        <v>0.83839500651210785</v>
      </c>
      <c r="CA62" s="75">
        <f t="shared" ca="1" si="38"/>
        <v>48</v>
      </c>
      <c r="CB62" s="76">
        <f t="shared" ca="1" si="39"/>
        <v>46621</v>
      </c>
      <c r="CC62" s="76">
        <f t="shared" ca="1" si="12"/>
        <v>46652</v>
      </c>
      <c r="CD62" s="77">
        <f t="shared" ca="1" si="13"/>
        <v>31</v>
      </c>
      <c r="CE62" s="78">
        <f ca="1">SUM(CD$15:CD62)/360</f>
        <v>4.0583333333333336</v>
      </c>
      <c r="CF62" s="79">
        <f t="shared" si="14"/>
        <v>25000000</v>
      </c>
      <c r="CG62" s="80">
        <f t="shared" si="40"/>
        <v>0.06</v>
      </c>
      <c r="CH62" s="81">
        <f>Volatilities_Resets!$E51*0.01</f>
        <v>3.7349300000000002E-2</v>
      </c>
      <c r="CI62" s="82">
        <f>IF(CG62=CJ$11,Volatilities_Resets!$AA51,IF(CG62&gt;=CI$11,IF(CG62&lt;CJ$11,(((Volatilities_Resets!$AA51-Volatilities_Resets!$Y51)/50)*((Calculator!CG62-Calculator!CI$11)*10000)+Volatilities_Resets!$Y51)),IF(CG62&gt;=CI$10,IF(CG62&lt;CJ$10,(((Volatilities_Resets!$Y51-Volatilities_Resets!$W51)/50)*((Calculator!CG62-Calculator!CI$10)*10000)+Volatilities_Resets!$W51)),IF(CG62&gt;=CI$9,IF(CG62&lt;CJ$9,(((Volatilities_Resets!$W51-Volatilities_Resets!$U51)/50)*((Calculator!CG62-Calculator!CI$9)*10000)+Volatilities_Resets!$U51)),IF(CG62&gt;=CI$8,IF(CG62&lt;CJ$8,(((Volatilities_Resets!$U51-Volatilities_Resets!$S51)/50)*((Calculator!CG62-Calculator!CI$8)*10000)+Volatilities_Resets!$S51)),IF(CG62&gt;=CI$7,IF(CG62&lt;CJ$7,(((Volatilities_Resets!$S51-Volatilities_Resets!$Q51)/50)*((Calculator!CG62-Calculator!CI$7)*10000)+Volatilities_Resets!$Q51)),IF(CG62&gt;=CI$6,IF(CG62&lt;CJ$6,(((Volatilities_Resets!$Q51-Volatilities_Resets!$O51)/50)*((Calculator!CG62-Calculator!CI$6)*10000)+Volatilities_Resets!$O51)),IF(CG62&gt;=CI$5,IF(CG62&lt;CJ$5,(((Volatilities_Resets!$O51-Volatilities_Resets!$M51)/50)*((Calculator!CG62-Calculator!CI$5)*10000)+Volatilities_Resets!$M51)),IF(CG62&gt;=CI$4,IF(CG62&lt;CJ$4,(((Volatilities_Resets!$M51-Volatilities_Resets!$K51)/50)*((Calculator!CG62-Calculator!CI$4)*10000)+Volatilities_Resets!$K51)),IF(CG62&gt;=CI$3,IF(CG62&lt;CJ$3,(((Volatilities_Resets!$K51-Volatilities_Resets!$I51)/50)*((Calculator!CG62-Calculator!CI$3)*10000)+Volatilities_Resets!$I51)),IF(CG62&gt;=CI$2,IF(CG62&lt;CJ$2,(((Volatilities_Resets!$I51-Volatilities_Resets!$G51)/50)*((Calculator!CG62-Calculator!CI$2)*10000)+Volatilities_Resets!$G51)),"Well, something broke...")))))))))))/10000</f>
        <v>1.4684000000000001E-2</v>
      </c>
      <c r="CJ62" s="84">
        <f t="shared" ca="1" si="41"/>
        <v>6815.0092609185149</v>
      </c>
      <c r="CK62" s="84">
        <f t="shared" ca="1" si="42"/>
        <v>2.7693685499217833E-4</v>
      </c>
      <c r="CL62" s="84">
        <f t="shared" ca="1" si="48"/>
        <v>182496.60676368716</v>
      </c>
      <c r="CM62" s="84">
        <f ca="1">SUM(CJ51:CJ62)</f>
        <v>74774.062878632816</v>
      </c>
      <c r="CN62" s="49"/>
      <c r="CO62" s="84">
        <f t="shared" ca="1" si="43"/>
        <v>90.892174927396837</v>
      </c>
      <c r="CP62" s="84">
        <f ca="1">SUM($CO$15:CO62)</f>
        <v>2923.4704177584395</v>
      </c>
      <c r="CR62" s="52">
        <f ca="1">EXP(-AVERAGE(CH$15:CH62)*CE62)</f>
        <v>0.83839500651210785</v>
      </c>
      <c r="CT62"/>
      <c r="CU62"/>
      <c r="CV62"/>
      <c r="CW62"/>
      <c r="CX62"/>
      <c r="CY62"/>
      <c r="CZ62"/>
      <c r="DA62"/>
      <c r="DB62"/>
      <c r="DC62"/>
      <c r="DD62"/>
      <c r="DE62"/>
      <c r="DF62"/>
      <c r="DG62"/>
      <c r="DH62"/>
      <c r="DI62"/>
      <c r="DJ62"/>
      <c r="DK62"/>
      <c r="DL62"/>
    </row>
    <row r="63" spans="2:116" ht="15.75" customHeight="1" x14ac:dyDescent="0.2">
      <c r="B63" s="52">
        <v>5</v>
      </c>
      <c r="C63" s="52">
        <f t="shared" ca="1" si="49"/>
        <v>49</v>
      </c>
      <c r="D63" s="71">
        <f t="shared" ca="1" si="16"/>
        <v>46652</v>
      </c>
      <c r="E63" s="71">
        <f t="shared" ca="1" si="50"/>
        <v>46682</v>
      </c>
      <c r="F63" s="72">
        <f t="shared" ca="1" si="51"/>
        <v>30</v>
      </c>
      <c r="G63" s="73">
        <f ca="1">SUM($F$15:F63)/360</f>
        <v>4.1416666666666666</v>
      </c>
      <c r="H63" s="74">
        <f t="shared" si="2"/>
        <v>25000000</v>
      </c>
      <c r="I63" s="59">
        <f>IF('Cap Pricer'!$E$22=DataValidation!$C$2,'Cap Pricer'!$E$23,IF('Cap Pricer'!$E$22=DataValidation!$C$3,VLOOKUP($B63,'Cap Pricer'!$C$25:$E$31,3),""))</f>
        <v>0.02</v>
      </c>
      <c r="J63" s="57">
        <f>Volatilities_Resets!$E52*0.01</f>
        <v>3.7555200000000004E-2</v>
      </c>
      <c r="K63" s="61">
        <f>IF(I63=L$11,Volatilities_Resets!$AA52,IF(I63&gt;=K$11,IF(I63&lt;L$11,(((Volatilities_Resets!$AA52-Volatilities_Resets!$Y52)/50)*((Calculator!I63-Calculator!K$11)*10000)+Volatilities_Resets!$Y52)),IF(I63&gt;=K$10,IF(I63&lt;L$10,(((Volatilities_Resets!$Y52-Volatilities_Resets!$W52)/50)*((Calculator!I63-Calculator!K$10)*10000)+Volatilities_Resets!$W52)),IF(I63&gt;=K$9,IF(I63&lt;L$9,(((Volatilities_Resets!$W52-Volatilities_Resets!$U52)/50)*((Calculator!I63-Calculator!K$9)*10000)+Volatilities_Resets!$U52)),IF(I63&gt;=K$8,IF(I63&lt;L$8,(((Volatilities_Resets!$U52-Volatilities_Resets!$S52)/50)*((Calculator!I63-Calculator!K$8)*10000)+Volatilities_Resets!$S52)),IF(I63&gt;=K$7,IF(I63&lt;L$7,(((Volatilities_Resets!$S52-Volatilities_Resets!$Q52)/50)*((Calculator!I63-Calculator!K$7)*10000)+Volatilities_Resets!$Q52)),IF(I63&gt;=K$6,IF(I63&lt;L$6,(((Volatilities_Resets!$Q52-Volatilities_Resets!$O52)/50)*((Calculator!I63-Calculator!K$6)*10000)+Volatilities_Resets!$O52)),IF(I63&gt;=K$5,IF(I63&lt;L$5,(((Volatilities_Resets!$O52-Volatilities_Resets!$M52)/50)*((Calculator!I63-Calculator!K$5)*10000)+Volatilities_Resets!$M52)),IF(I63&gt;=K$4,IF(I63&lt;L$4,(((Volatilities_Resets!$M52-Volatilities_Resets!$K52)/50)*((Calculator!I63-Calculator!K$4)*10000)+Volatilities_Resets!$K52)),IF(I63&gt;=K$3,IF(I63&lt;L$3,(((Volatilities_Resets!$K52-Volatilities_Resets!$I52)/50)*((Calculator!I63-Calculator!K$3)*10000)+Volatilities_Resets!$I52)),IF(I63&gt;=K$2,IF(I63&lt;L$2,(((Volatilities_Resets!$I52-Volatilities_Resets!$G52)/50)*((Calculator!I63-Calculator!K$2)*10000)+Volatilities_Resets!$G52)),"Well, something broke...")))))))))))/10000</f>
        <v>1.2444999999999999E-2</v>
      </c>
      <c r="L63" s="47">
        <f t="shared" ca="1" si="17"/>
        <v>36941.695879210594</v>
      </c>
      <c r="M63" s="63">
        <f t="shared" ca="1" si="18"/>
        <v>1.4821235031963547E-3</v>
      </c>
      <c r="N63" s="63">
        <f t="shared" ca="1" si="44"/>
        <v>2459088.9944651225</v>
      </c>
      <c r="Q63" s="63">
        <f t="shared" ca="1" si="19"/>
        <v>93.099079849843079</v>
      </c>
      <c r="R63" s="63">
        <f ca="1">SUM($Q$15:Q63)</f>
        <v>3010.4211071385239</v>
      </c>
      <c r="T63" s="52">
        <f ca="1">EXP(-AVERAGE(J$15:J63)*G63)</f>
        <v>0.83578111534557331</v>
      </c>
      <c r="U63" s="57"/>
      <c r="V63" s="52">
        <f t="shared" ca="1" si="20"/>
        <v>49</v>
      </c>
      <c r="W63" s="71">
        <f t="shared" ca="1" si="21"/>
        <v>46652</v>
      </c>
      <c r="X63" s="71">
        <f t="shared" ca="1" si="3"/>
        <v>46682</v>
      </c>
      <c r="Y63" s="72">
        <f t="shared" ca="1" si="4"/>
        <v>30</v>
      </c>
      <c r="Z63" s="73">
        <f ca="1">SUM(Y$15:Y63)/360</f>
        <v>4.1416666666666666</v>
      </c>
      <c r="AA63" s="74">
        <f t="shared" si="22"/>
        <v>25000000</v>
      </c>
      <c r="AB63" s="59">
        <f t="shared" si="23"/>
        <v>0.03</v>
      </c>
      <c r="AC63" s="57">
        <f>Volatilities_Resets!$E52*0.01</f>
        <v>3.7555200000000004E-2</v>
      </c>
      <c r="AD63" s="61">
        <f>IF(AB63=AE$11,Volatilities_Resets!$AA52,IF(AB63&gt;=AD$11,IF(AB63&lt;AE$11,(((Volatilities_Resets!$AA52-Volatilities_Resets!$Y52)/50)*((Calculator!AB63-Calculator!AD$11)*10000)+Volatilities_Resets!$Y52)),IF(AB63&gt;=AD$10,IF(AB63&lt;AE$10,(((Volatilities_Resets!$Y52-Volatilities_Resets!$W52)/50)*((Calculator!AB63-Calculator!AD$10)*10000)+Volatilities_Resets!$W52)),IF(AB63&gt;=AD$9,IF(AB63&lt;AE$9,(((Volatilities_Resets!$W52-Volatilities_Resets!$U52)/50)*((Calculator!AB63-Calculator!AD$9)*10000)+Volatilities_Resets!$U52)),IF(AB63&gt;=AD$8,IF(AB63&lt;AE$8,(((Volatilities_Resets!$U52-Volatilities_Resets!$S52)/50)*((Calculator!AB63-Calculator!AD$8)*10000)+Volatilities_Resets!$S52)),IF(AB63&gt;=AD$7,IF(AB63&lt;AE$7,(((Volatilities_Resets!$S52-Volatilities_Resets!$Q52)/50)*((Calculator!AB63-Calculator!AD$7)*10000)+Volatilities_Resets!$Q52)),IF(AB63&gt;=AD$6,IF(AB63&lt;AE$6,(((Volatilities_Resets!$Q52-Volatilities_Resets!$O52)/50)*((Calculator!AB63-Calculator!AD$6)*10000)+Volatilities_Resets!$O52)),IF(AB63&gt;=AD$5,IF(AB63&lt;AE$5,(((Volatilities_Resets!$O52-Volatilities_Resets!$M52)/50)*((Calculator!AB63-Calculator!AD$5)*10000)+Volatilities_Resets!$M52)),IF(AB63&gt;=AD$4,IF(AB63&lt;AE$4,(((Volatilities_Resets!$M52-Volatilities_Resets!$K52)/50)*((Calculator!AB63-Calculator!AD$4)*10000)+Volatilities_Resets!$K52)),IF(AB63&gt;=AD$3,IF(AB63&lt;AE$3,(((Volatilities_Resets!$K52-Volatilities_Resets!$I52)/50)*((Calculator!AB63-Calculator!AD$3)*10000)+Volatilities_Resets!$I52)),IF(AB63&gt;=AD$2,IF(AB63&lt;AE$2,(((Volatilities_Resets!$I52-Volatilities_Resets!$G52)/50)*((Calculator!AB63-Calculator!AD$2)*10000)+Volatilities_Resets!$G52)),"Well, something broke...")))))))))))/10000</f>
        <v>1.2425E-2</v>
      </c>
      <c r="AE63" s="63">
        <f t="shared" ca="1" si="24"/>
        <v>24920.744841845382</v>
      </c>
      <c r="AF63" s="63">
        <f t="shared" ca="1" si="25"/>
        <v>1.0022395558237699E-3</v>
      </c>
      <c r="AG63" s="63">
        <f t="shared" ca="1" si="45"/>
        <v>1687964.644854811</v>
      </c>
      <c r="AJ63" s="63">
        <f t="shared" ca="1" si="26"/>
        <v>113.03442608608162</v>
      </c>
      <c r="AK63" s="63">
        <f ca="1">SUM($AJ$15:AJ63)</f>
        <v>3719.7463854514863</v>
      </c>
      <c r="AM63" s="52">
        <f ca="1">EXP(-AVERAGE(AC$15:AC63)*Z63)</f>
        <v>0.83578111534557331</v>
      </c>
      <c r="AO63" s="52">
        <f t="shared" ca="1" si="27"/>
        <v>49</v>
      </c>
      <c r="AP63" s="71">
        <f t="shared" ca="1" si="28"/>
        <v>46652</v>
      </c>
      <c r="AQ63" s="71">
        <f t="shared" ca="1" si="5"/>
        <v>46682</v>
      </c>
      <c r="AR63" s="72">
        <f t="shared" ca="1" si="6"/>
        <v>30</v>
      </c>
      <c r="AS63" s="73">
        <f ca="1">SUM(AR$15:AR63)/360</f>
        <v>4.1416666666666666</v>
      </c>
      <c r="AT63" s="74">
        <f t="shared" si="7"/>
        <v>25000000</v>
      </c>
      <c r="AU63" s="59">
        <f t="shared" si="29"/>
        <v>0.04</v>
      </c>
      <c r="AV63" s="57">
        <f>Volatilities_Resets!$E52*0.01</f>
        <v>3.7555200000000004E-2</v>
      </c>
      <c r="AW63" s="61">
        <f>IF(AU63=AX$11,Volatilities_Resets!$AA52,IF(AU63&gt;=AW$11,IF(AU63&lt;AX$11,(((Volatilities_Resets!$AA52-Volatilities_Resets!$Y52)/50)*((Calculator!AU63-Calculator!AW$11)*10000)+Volatilities_Resets!$Y52)),IF(AU63&gt;=AW$10,IF(AU63&lt;AX$10,(((Volatilities_Resets!$Y52-Volatilities_Resets!$W52)/50)*((Calculator!AU63-Calculator!AW$10)*10000)+Volatilities_Resets!$W52)),IF(AU63&gt;=AW$9,IF(AU63&lt;AX$9,(((Volatilities_Resets!$W52-Volatilities_Resets!$U52)/50)*((Calculator!AU63-Calculator!AW$9)*10000)+Volatilities_Resets!$U52)),IF(AU63&gt;=AW$8,IF(AU63&lt;AX$8,(((Volatilities_Resets!$U52-Volatilities_Resets!$S52)/50)*((Calculator!AU63-Calculator!AW$8)*10000)+Volatilities_Resets!$S52)),IF(AU63&gt;=AW$7,IF(AU63&lt;AX$7,(((Volatilities_Resets!$S52-Volatilities_Resets!$Q52)/50)*((Calculator!AU63-Calculator!AW$7)*10000)+Volatilities_Resets!$Q52)),IF(AU63&gt;=AW$6,IF(AU63&lt;AX$6,(((Volatilities_Resets!$Q52-Volatilities_Resets!$O52)/50)*((Calculator!AU63-Calculator!AW$6)*10000)+Volatilities_Resets!$O52)),IF(AU63&gt;=AW$5,IF(AU63&lt;AX$5,(((Volatilities_Resets!$O52-Volatilities_Resets!$M52)/50)*((Calculator!AU63-Calculator!AW$5)*10000)+Volatilities_Resets!$M52)),IF(AU63&gt;=AW$4,IF(AU63&lt;AX$4,(((Volatilities_Resets!$M52-Volatilities_Resets!$K52)/50)*((Calculator!AU63-Calculator!AW$4)*10000)+Volatilities_Resets!$K52)),IF(AU63&gt;=AW$3,IF(AU63&lt;AX$3,(((Volatilities_Resets!$K52-Volatilities_Resets!$I52)/50)*((Calculator!AU63-Calculator!AW$3)*10000)+Volatilities_Resets!$I52)),IF(AU63&gt;=AW$2,IF(AU63&lt;AX$2,(((Volatilities_Resets!$I52-Volatilities_Resets!$G52)/50)*((Calculator!AU63-Calculator!AW$2)*10000)+Volatilities_Resets!$G52)),"Well, something broke...")))))))))))/10000</f>
        <v>1.277E-2</v>
      </c>
      <c r="AX63" s="63">
        <f t="shared" ca="1" si="30"/>
        <v>16003.969325292523</v>
      </c>
      <c r="AY63" s="63">
        <f t="shared" ca="1" si="31"/>
        <v>6.4578869249132492E-4</v>
      </c>
      <c r="AZ63" s="63">
        <f t="shared" ca="1" si="46"/>
        <v>999005.51656183158</v>
      </c>
      <c r="BC63" s="63">
        <f t="shared" ca="1" si="8"/>
        <v>117.63450954964793</v>
      </c>
      <c r="BD63" s="63">
        <f ca="1">SUM($BC$15:BC63)</f>
        <v>4108.5950232249361</v>
      </c>
      <c r="BF63" s="52">
        <f ca="1">EXP(-AVERAGE(AV$15:AV63)*AS63)</f>
        <v>0.83578111534557331</v>
      </c>
      <c r="BH63" s="52">
        <f t="shared" ca="1" si="32"/>
        <v>49</v>
      </c>
      <c r="BI63" s="71">
        <f t="shared" ca="1" si="33"/>
        <v>46652</v>
      </c>
      <c r="BJ63" s="71">
        <f t="shared" ca="1" si="9"/>
        <v>46682</v>
      </c>
      <c r="BK63" s="72">
        <f t="shared" ca="1" si="10"/>
        <v>30</v>
      </c>
      <c r="BL63" s="73">
        <f ca="1">SUM(BK$15:BK63)/360</f>
        <v>4.1416666666666666</v>
      </c>
      <c r="BM63" s="74">
        <f t="shared" si="11"/>
        <v>25000000</v>
      </c>
      <c r="BN63" s="59">
        <f t="shared" si="34"/>
        <v>0.05</v>
      </c>
      <c r="BO63" s="57">
        <f>Volatilities_Resets!$E52*0.01</f>
        <v>3.7555200000000004E-2</v>
      </c>
      <c r="BP63" s="61">
        <f>IF(BN63=BQ$11,Volatilities_Resets!$AA52,IF(BN63&gt;=BP$11,IF(BN63&lt;BQ$11,(((Volatilities_Resets!$AA52-Volatilities_Resets!$Y52)/50)*((Calculator!BN63-Calculator!BP$11)*10000)+Volatilities_Resets!$Y52)),IF(BN63&gt;=BP$10,IF(BN63&lt;BQ$10,(((Volatilities_Resets!$Y52-Volatilities_Resets!$W52)/50)*((Calculator!BN63-Calculator!BP$10)*10000)+Volatilities_Resets!$W52)),IF(BN63&gt;=BP$9,IF(BN63&lt;BQ$9,(((Volatilities_Resets!$W52-Volatilities_Resets!$U52)/50)*((Calculator!BN63-Calculator!BP$9)*10000)+Volatilities_Resets!$U52)),IF(BN63&gt;=BP$8,IF(BN63&lt;BQ$8,(((Volatilities_Resets!$U52-Volatilities_Resets!$S52)/50)*((Calculator!BN63-Calculator!BP$8)*10000)+Volatilities_Resets!$S52)),IF(BN63&gt;=BP$7,IF(BN63&lt;BQ$7,(((Volatilities_Resets!$S52-Volatilities_Resets!$Q52)/50)*((Calculator!BN63-Calculator!BP$7)*10000)+Volatilities_Resets!$Q52)),IF(BN63&gt;=BP$6,IF(BN63&lt;BQ$6,(((Volatilities_Resets!$Q52-Volatilities_Resets!$O52)/50)*((Calculator!BN63-Calculator!BP$6)*10000)+Volatilities_Resets!$O52)),IF(BN63&gt;=BP$5,IF(BN63&lt;BQ$5,(((Volatilities_Resets!$O52-Volatilities_Resets!$M52)/50)*((Calculator!BN63-Calculator!BP$5)*10000)+Volatilities_Resets!$M52)),IF(BN63&gt;=BP$4,IF(BN63&lt;BQ$4,(((Volatilities_Resets!$M52-Volatilities_Resets!$K52)/50)*((Calculator!BN63-Calculator!BP$4)*10000)+Volatilities_Resets!$K52)),IF(BN63&gt;=BP$3,IF(BN63&lt;BQ$3,(((Volatilities_Resets!$K52-Volatilities_Resets!$I52)/50)*((Calculator!BN63-Calculator!BP$3)*10000)+Volatilities_Resets!$I52)),IF(BN63&gt;=BP$2,IF(BN63&lt;BQ$2,(((Volatilities_Resets!$I52-Volatilities_Resets!$G52)/50)*((Calculator!BN63-Calculator!BP$2)*10000)+Volatilities_Resets!$G52)),"Well, something broke...")))))))))))/10000</f>
        <v>1.3487000000000001E-2</v>
      </c>
      <c r="BQ63" s="63">
        <f t="shared" ca="1" si="35"/>
        <v>10158.568993373665</v>
      </c>
      <c r="BR63" s="63">
        <f t="shared" ca="1" si="36"/>
        <v>4.1144895623733809E-4</v>
      </c>
      <c r="BS63" s="63">
        <f t="shared" ca="1" si="47"/>
        <v>463209.1954945724</v>
      </c>
      <c r="BV63" s="63">
        <f t="shared" ca="1" si="37"/>
        <v>106.69156519856101</v>
      </c>
      <c r="BW63" s="63">
        <f ca="1">SUM($BV$15:BV63)</f>
        <v>4072.7814967227778</v>
      </c>
      <c r="BY63" s="52">
        <f ca="1">EXP(-AVERAGE(BO$15:BO63)*BL63)</f>
        <v>0.83578111534557331</v>
      </c>
      <c r="CA63" s="52">
        <f t="shared" ca="1" si="38"/>
        <v>49</v>
      </c>
      <c r="CB63" s="71">
        <f t="shared" ca="1" si="39"/>
        <v>46652</v>
      </c>
      <c r="CC63" s="71">
        <f t="shared" ca="1" si="12"/>
        <v>46682</v>
      </c>
      <c r="CD63" s="72">
        <f t="shared" ca="1" si="13"/>
        <v>30</v>
      </c>
      <c r="CE63" s="73">
        <f ca="1">SUM(CD$15:CD63)/360</f>
        <v>4.1416666666666666</v>
      </c>
      <c r="CF63" s="74">
        <f t="shared" si="14"/>
        <v>25000000</v>
      </c>
      <c r="CG63" s="59">
        <f t="shared" si="40"/>
        <v>0.06</v>
      </c>
      <c r="CH63" s="57">
        <f>Volatilities_Resets!$E52*0.01</f>
        <v>3.7555200000000004E-2</v>
      </c>
      <c r="CI63" s="61">
        <f>IF(CG63=CJ$11,Volatilities_Resets!$AA52,IF(CG63&gt;=CI$11,IF(CG63&lt;CJ$11,(((Volatilities_Resets!$AA52-Volatilities_Resets!$Y52)/50)*((Calculator!CG63-Calculator!CI$11)*10000)+Volatilities_Resets!$Y52)),IF(CG63&gt;=CI$10,IF(CG63&lt;CJ$10,(((Volatilities_Resets!$Y52-Volatilities_Resets!$W52)/50)*((Calculator!CG63-Calculator!CI$10)*10000)+Volatilities_Resets!$W52)),IF(CG63&gt;=CI$9,IF(CG63&lt;CJ$9,(((Volatilities_Resets!$W52-Volatilities_Resets!$U52)/50)*((Calculator!CG63-Calculator!CI$9)*10000)+Volatilities_Resets!$U52)),IF(CG63&gt;=CI$8,IF(CG63&lt;CJ$8,(((Volatilities_Resets!$U52-Volatilities_Resets!$S52)/50)*((Calculator!CG63-Calculator!CI$8)*10000)+Volatilities_Resets!$S52)),IF(CG63&gt;=CI$7,IF(CG63&lt;CJ$7,(((Volatilities_Resets!$S52-Volatilities_Resets!$Q52)/50)*((Calculator!CG63-Calculator!CI$7)*10000)+Volatilities_Resets!$Q52)),IF(CG63&gt;=CI$6,IF(CG63&lt;CJ$6,(((Volatilities_Resets!$Q52-Volatilities_Resets!$O52)/50)*((Calculator!CG63-Calculator!CI$6)*10000)+Volatilities_Resets!$O52)),IF(CG63&gt;=CI$5,IF(CG63&lt;CJ$5,(((Volatilities_Resets!$O52-Volatilities_Resets!$M52)/50)*((Calculator!CG63-Calculator!CI$5)*10000)+Volatilities_Resets!$M52)),IF(CG63&gt;=CI$4,IF(CG63&lt;CJ$4,(((Volatilities_Resets!$M52-Volatilities_Resets!$K52)/50)*((Calculator!CG63-Calculator!CI$4)*10000)+Volatilities_Resets!$K52)),IF(CG63&gt;=CI$3,IF(CG63&lt;CJ$3,(((Volatilities_Resets!$K52-Volatilities_Resets!$I52)/50)*((Calculator!CG63-Calculator!CI$3)*10000)+Volatilities_Resets!$I52)),IF(CG63&gt;=CI$2,IF(CG63&lt;CJ$2,(((Volatilities_Resets!$I52-Volatilities_Resets!$G52)/50)*((Calculator!CG63-Calculator!CI$2)*10000)+Volatilities_Resets!$G52)),"Well, something broke...")))))))))))/10000</f>
        <v>1.4483000000000001E-2</v>
      </c>
      <c r="CJ63" s="63">
        <f t="shared" ca="1" si="41"/>
        <v>6598.9233479201912</v>
      </c>
      <c r="CK63" s="63">
        <f t="shared" ca="1" si="42"/>
        <v>2.6819680863413476E-4</v>
      </c>
      <c r="CL63" s="63">
        <f t="shared" ca="1" si="48"/>
        <v>189095.53011160734</v>
      </c>
      <c r="CO63" s="63">
        <f t="shared" ca="1" si="43"/>
        <v>88.590180504328927</v>
      </c>
      <c r="CP63" s="63">
        <f ca="1">SUM($CO$15:CO63)</f>
        <v>3012.0605982627685</v>
      </c>
      <c r="CR63" s="52">
        <f ca="1">EXP(-AVERAGE(CH$15:CH63)*CE63)</f>
        <v>0.83578111534557331</v>
      </c>
      <c r="CT63"/>
      <c r="CU63"/>
      <c r="CV63"/>
      <c r="CW63"/>
      <c r="CX63"/>
      <c r="CY63"/>
      <c r="CZ63"/>
      <c r="DA63"/>
      <c r="DB63"/>
      <c r="DC63"/>
      <c r="DD63"/>
      <c r="DE63"/>
      <c r="DF63"/>
      <c r="DG63"/>
      <c r="DH63"/>
      <c r="DI63"/>
      <c r="DJ63"/>
      <c r="DK63"/>
      <c r="DL63"/>
    </row>
    <row r="64" spans="2:116" ht="15.75" customHeight="1" x14ac:dyDescent="0.2">
      <c r="B64" s="52">
        <v>5</v>
      </c>
      <c r="C64" s="52">
        <f t="shared" ca="1" si="49"/>
        <v>50</v>
      </c>
      <c r="D64" s="71">
        <f t="shared" ca="1" si="16"/>
        <v>46682</v>
      </c>
      <c r="E64" s="71">
        <f t="shared" ca="1" si="50"/>
        <v>46713</v>
      </c>
      <c r="F64" s="72">
        <f t="shared" ca="1" si="51"/>
        <v>31</v>
      </c>
      <c r="G64" s="73">
        <f ca="1">SUM($F$15:F64)/360</f>
        <v>4.2277777777777779</v>
      </c>
      <c r="H64" s="74">
        <f t="shared" si="2"/>
        <v>25000000</v>
      </c>
      <c r="I64" s="59">
        <f>IF('Cap Pricer'!$E$22=DataValidation!$C$2,'Cap Pricer'!$E$23,IF('Cap Pricer'!$E$22=DataValidation!$C$3,VLOOKUP($B64,'Cap Pricer'!$C$25:$E$31,3),""))</f>
        <v>0.02</v>
      </c>
      <c r="J64" s="57">
        <f>Volatilities_Resets!$E53*0.01</f>
        <v>3.7595499999999997E-2</v>
      </c>
      <c r="K64" s="61">
        <f>IF(I64=L$11,Volatilities_Resets!$AA53,IF(I64&gt;=K$11,IF(I64&lt;L$11,(((Volatilities_Resets!$AA53-Volatilities_Resets!$Y53)/50)*((Calculator!I64-Calculator!K$11)*10000)+Volatilities_Resets!$Y53)),IF(I64&gt;=K$10,IF(I64&lt;L$10,(((Volatilities_Resets!$Y53-Volatilities_Resets!$W53)/50)*((Calculator!I64-Calculator!K$10)*10000)+Volatilities_Resets!$W53)),IF(I64&gt;=K$9,IF(I64&lt;L$9,(((Volatilities_Resets!$W53-Volatilities_Resets!$U53)/50)*((Calculator!I64-Calculator!K$9)*10000)+Volatilities_Resets!$U53)),IF(I64&gt;=K$8,IF(I64&lt;L$8,(((Volatilities_Resets!$U53-Volatilities_Resets!$S53)/50)*((Calculator!I64-Calculator!K$8)*10000)+Volatilities_Resets!$S53)),IF(I64&gt;=K$7,IF(I64&lt;L$7,(((Volatilities_Resets!$S53-Volatilities_Resets!$Q53)/50)*((Calculator!I64-Calculator!K$7)*10000)+Volatilities_Resets!$Q53)),IF(I64&gt;=K$6,IF(I64&lt;L$6,(((Volatilities_Resets!$Q53-Volatilities_Resets!$O53)/50)*((Calculator!I64-Calculator!K$6)*10000)+Volatilities_Resets!$O53)),IF(I64&gt;=K$5,IF(I64&lt;L$5,(((Volatilities_Resets!$O53-Volatilities_Resets!$M53)/50)*((Calculator!I64-Calculator!K$5)*10000)+Volatilities_Resets!$M53)),IF(I64&gt;=K$4,IF(I64&lt;L$4,(((Volatilities_Resets!$M53-Volatilities_Resets!$K53)/50)*((Calculator!I64-Calculator!K$4)*10000)+Volatilities_Resets!$K53)),IF(I64&gt;=K$3,IF(I64&lt;L$3,(((Volatilities_Resets!$K53-Volatilities_Resets!$I53)/50)*((Calculator!I64-Calculator!K$3)*10000)+Volatilities_Resets!$I53)),IF(I64&gt;=K$2,IF(I64&lt;L$2,(((Volatilities_Resets!$I53-Volatilities_Resets!$G53)/50)*((Calculator!I64-Calculator!K$2)*10000)+Volatilities_Resets!$G53)),"Well, something broke...")))))))))))/10000</f>
        <v>1.2421E-2</v>
      </c>
      <c r="L64" s="47">
        <f t="shared" ca="1" si="17"/>
        <v>38223.744474010651</v>
      </c>
      <c r="M64" s="63">
        <f t="shared" ca="1" si="18"/>
        <v>1.5335998702918432E-3</v>
      </c>
      <c r="N64" s="63">
        <f t="shared" ca="1" si="44"/>
        <v>2497312.738939133</v>
      </c>
      <c r="Q64" s="63">
        <f t="shared" ca="1" si="19"/>
        <v>96.846560655850055</v>
      </c>
      <c r="R64" s="63">
        <f ca="1">SUM($Q$15:Q64)</f>
        <v>3107.2676677943741</v>
      </c>
      <c r="T64" s="52">
        <f ca="1">EXP(-AVERAGE(J$15:J64)*G64)</f>
        <v>0.83307233130266056</v>
      </c>
      <c r="U64" s="57"/>
      <c r="V64" s="52">
        <f t="shared" ca="1" si="20"/>
        <v>50</v>
      </c>
      <c r="W64" s="71">
        <f t="shared" ca="1" si="21"/>
        <v>46682</v>
      </c>
      <c r="X64" s="71">
        <f t="shared" ca="1" si="3"/>
        <v>46713</v>
      </c>
      <c r="Y64" s="72">
        <f t="shared" ca="1" si="4"/>
        <v>31</v>
      </c>
      <c r="Z64" s="73">
        <f ca="1">SUM(Y$15:Y64)/360</f>
        <v>4.2277777777777779</v>
      </c>
      <c r="AA64" s="74">
        <f t="shared" si="22"/>
        <v>25000000</v>
      </c>
      <c r="AB64" s="59">
        <f t="shared" si="23"/>
        <v>0.03</v>
      </c>
      <c r="AC64" s="57">
        <f>Volatilities_Resets!$E53*0.01</f>
        <v>3.7595499999999997E-2</v>
      </c>
      <c r="AD64" s="61">
        <f>IF(AB64=AE$11,Volatilities_Resets!$AA53,IF(AB64&gt;=AD$11,IF(AB64&lt;AE$11,(((Volatilities_Resets!$AA53-Volatilities_Resets!$Y53)/50)*((Calculator!AB64-Calculator!AD$11)*10000)+Volatilities_Resets!$Y53)),IF(AB64&gt;=AD$10,IF(AB64&lt;AE$10,(((Volatilities_Resets!$Y53-Volatilities_Resets!$W53)/50)*((Calculator!AB64-Calculator!AD$10)*10000)+Volatilities_Resets!$W53)),IF(AB64&gt;=AD$9,IF(AB64&lt;AE$9,(((Volatilities_Resets!$W53-Volatilities_Resets!$U53)/50)*((Calculator!AB64-Calculator!AD$9)*10000)+Volatilities_Resets!$U53)),IF(AB64&gt;=AD$8,IF(AB64&lt;AE$8,(((Volatilities_Resets!$U53-Volatilities_Resets!$S53)/50)*((Calculator!AB64-Calculator!AD$8)*10000)+Volatilities_Resets!$S53)),IF(AB64&gt;=AD$7,IF(AB64&lt;AE$7,(((Volatilities_Resets!$S53-Volatilities_Resets!$Q53)/50)*((Calculator!AB64-Calculator!AD$7)*10000)+Volatilities_Resets!$Q53)),IF(AB64&gt;=AD$6,IF(AB64&lt;AE$6,(((Volatilities_Resets!$Q53-Volatilities_Resets!$O53)/50)*((Calculator!AB64-Calculator!AD$6)*10000)+Volatilities_Resets!$O53)),IF(AB64&gt;=AD$5,IF(AB64&lt;AE$5,(((Volatilities_Resets!$O53-Volatilities_Resets!$M53)/50)*((Calculator!AB64-Calculator!AD$5)*10000)+Volatilities_Resets!$M53)),IF(AB64&gt;=AD$4,IF(AB64&lt;AE$4,(((Volatilities_Resets!$M53-Volatilities_Resets!$K53)/50)*((Calculator!AB64-Calculator!AD$4)*10000)+Volatilities_Resets!$K53)),IF(AB64&gt;=AD$3,IF(AB64&lt;AE$3,(((Volatilities_Resets!$K53-Volatilities_Resets!$I53)/50)*((Calculator!AB64-Calculator!AD$3)*10000)+Volatilities_Resets!$I53)),IF(AB64&gt;=AD$2,IF(AB64&lt;AE$2,(((Volatilities_Resets!$I53-Volatilities_Resets!$G53)/50)*((Calculator!AB64-Calculator!AD$2)*10000)+Volatilities_Resets!$G53)),"Well, something broke...")))))))))))/10000</f>
        <v>1.24E-2</v>
      </c>
      <c r="AE64" s="63">
        <f t="shared" ca="1" si="24"/>
        <v>25856.37449675177</v>
      </c>
      <c r="AF64" s="63">
        <f t="shared" ca="1" si="25"/>
        <v>1.0398860495568246E-3</v>
      </c>
      <c r="AG64" s="63">
        <f t="shared" ca="1" si="45"/>
        <v>1713821.0193515627</v>
      </c>
      <c r="AJ64" s="63">
        <f t="shared" ca="1" si="26"/>
        <v>117.27720879179422</v>
      </c>
      <c r="AK64" s="63">
        <f ca="1">SUM($AJ$15:AJ64)</f>
        <v>3837.0235942432805</v>
      </c>
      <c r="AM64" s="52">
        <f ca="1">EXP(-AVERAGE(AC$15:AC64)*Z64)</f>
        <v>0.83307233130266056</v>
      </c>
      <c r="AO64" s="52">
        <f t="shared" ca="1" si="27"/>
        <v>50</v>
      </c>
      <c r="AP64" s="71">
        <f t="shared" ca="1" si="28"/>
        <v>46682</v>
      </c>
      <c r="AQ64" s="71">
        <f t="shared" ca="1" si="5"/>
        <v>46713</v>
      </c>
      <c r="AR64" s="72">
        <f t="shared" ca="1" si="6"/>
        <v>31</v>
      </c>
      <c r="AS64" s="73">
        <f ca="1">SUM(AR$15:AR64)/360</f>
        <v>4.2277777777777779</v>
      </c>
      <c r="AT64" s="74">
        <f t="shared" si="7"/>
        <v>25000000</v>
      </c>
      <c r="AU64" s="59">
        <f t="shared" si="29"/>
        <v>0.04</v>
      </c>
      <c r="AV64" s="57">
        <f>Volatilities_Resets!$E53*0.01</f>
        <v>3.7595499999999997E-2</v>
      </c>
      <c r="AW64" s="61">
        <f>IF(AU64=AX$11,Volatilities_Resets!$AA53,IF(AU64&gt;=AW$11,IF(AU64&lt;AX$11,(((Volatilities_Resets!$AA53-Volatilities_Resets!$Y53)/50)*((Calculator!AU64-Calculator!AW$11)*10000)+Volatilities_Resets!$Y53)),IF(AU64&gt;=AW$10,IF(AU64&lt;AX$10,(((Volatilities_Resets!$Y53-Volatilities_Resets!$W53)/50)*((Calculator!AU64-Calculator!AW$10)*10000)+Volatilities_Resets!$W53)),IF(AU64&gt;=AW$9,IF(AU64&lt;AX$9,(((Volatilities_Resets!$W53-Volatilities_Resets!$U53)/50)*((Calculator!AU64-Calculator!AW$9)*10000)+Volatilities_Resets!$U53)),IF(AU64&gt;=AW$8,IF(AU64&lt;AX$8,(((Volatilities_Resets!$U53-Volatilities_Resets!$S53)/50)*((Calculator!AU64-Calculator!AW$8)*10000)+Volatilities_Resets!$S53)),IF(AU64&gt;=AW$7,IF(AU64&lt;AX$7,(((Volatilities_Resets!$S53-Volatilities_Resets!$Q53)/50)*((Calculator!AU64-Calculator!AW$7)*10000)+Volatilities_Resets!$Q53)),IF(AU64&gt;=AW$6,IF(AU64&lt;AX$6,(((Volatilities_Resets!$Q53-Volatilities_Resets!$O53)/50)*((Calculator!AU64-Calculator!AW$6)*10000)+Volatilities_Resets!$O53)),IF(AU64&gt;=AW$5,IF(AU64&lt;AX$5,(((Volatilities_Resets!$O53-Volatilities_Resets!$M53)/50)*((Calculator!AU64-Calculator!AW$5)*10000)+Volatilities_Resets!$M53)),IF(AU64&gt;=AW$4,IF(AU64&lt;AX$4,(((Volatilities_Resets!$M53-Volatilities_Resets!$K53)/50)*((Calculator!AU64-Calculator!AW$4)*10000)+Volatilities_Resets!$K53)),IF(AU64&gt;=AW$3,IF(AU64&lt;AX$3,(((Volatilities_Resets!$K53-Volatilities_Resets!$I53)/50)*((Calculator!AU64-Calculator!AW$3)*10000)+Volatilities_Resets!$I53)),IF(AU64&gt;=AW$2,IF(AU64&lt;AX$2,(((Volatilities_Resets!$I53-Volatilities_Resets!$G53)/50)*((Calculator!AU64-Calculator!AW$2)*10000)+Volatilities_Resets!$G53)),"Well, something broke...")))))))))))/10000</f>
        <v>1.2745000000000001E-2</v>
      </c>
      <c r="AX64" s="63">
        <f t="shared" ca="1" si="30"/>
        <v>16672.153567437796</v>
      </c>
      <c r="AY64" s="63">
        <f t="shared" ca="1" si="31"/>
        <v>6.7274609561744593E-4</v>
      </c>
      <c r="AZ64" s="63">
        <f t="shared" ca="1" si="46"/>
        <v>1015677.6701292694</v>
      </c>
      <c r="BC64" s="63">
        <f t="shared" ca="1" si="8"/>
        <v>122.0441160083341</v>
      </c>
      <c r="BD64" s="63">
        <f ca="1">SUM($BC$15:BC64)</f>
        <v>4230.6391392332698</v>
      </c>
      <c r="BF64" s="52">
        <f ca="1">EXP(-AVERAGE(AV$15:AV64)*AS64)</f>
        <v>0.83307233130266056</v>
      </c>
      <c r="BH64" s="52">
        <f t="shared" ca="1" si="32"/>
        <v>50</v>
      </c>
      <c r="BI64" s="71">
        <f t="shared" ca="1" si="33"/>
        <v>46682</v>
      </c>
      <c r="BJ64" s="71">
        <f t="shared" ca="1" si="9"/>
        <v>46713</v>
      </c>
      <c r="BK64" s="72">
        <f t="shared" ca="1" si="10"/>
        <v>31</v>
      </c>
      <c r="BL64" s="73">
        <f ca="1">SUM(BK$15:BK64)/360</f>
        <v>4.2277777777777779</v>
      </c>
      <c r="BM64" s="74">
        <f t="shared" si="11"/>
        <v>25000000</v>
      </c>
      <c r="BN64" s="59">
        <f t="shared" si="34"/>
        <v>0.05</v>
      </c>
      <c r="BO64" s="57">
        <f>Volatilities_Resets!$E53*0.01</f>
        <v>3.7595499999999997E-2</v>
      </c>
      <c r="BP64" s="61">
        <f>IF(BN64=BQ$11,Volatilities_Resets!$AA53,IF(BN64&gt;=BP$11,IF(BN64&lt;BQ$11,(((Volatilities_Resets!$AA53-Volatilities_Resets!$Y53)/50)*((Calculator!BN64-Calculator!BP$11)*10000)+Volatilities_Resets!$Y53)),IF(BN64&gt;=BP$10,IF(BN64&lt;BQ$10,(((Volatilities_Resets!$Y53-Volatilities_Resets!$W53)/50)*((Calculator!BN64-Calculator!BP$10)*10000)+Volatilities_Resets!$W53)),IF(BN64&gt;=BP$9,IF(BN64&lt;BQ$9,(((Volatilities_Resets!$W53-Volatilities_Resets!$U53)/50)*((Calculator!BN64-Calculator!BP$9)*10000)+Volatilities_Resets!$U53)),IF(BN64&gt;=BP$8,IF(BN64&lt;BQ$8,(((Volatilities_Resets!$U53-Volatilities_Resets!$S53)/50)*((Calculator!BN64-Calculator!BP$8)*10000)+Volatilities_Resets!$S53)),IF(BN64&gt;=BP$7,IF(BN64&lt;BQ$7,(((Volatilities_Resets!$S53-Volatilities_Resets!$Q53)/50)*((Calculator!BN64-Calculator!BP$7)*10000)+Volatilities_Resets!$Q53)),IF(BN64&gt;=BP$6,IF(BN64&lt;BQ$6,(((Volatilities_Resets!$Q53-Volatilities_Resets!$O53)/50)*((Calculator!BN64-Calculator!BP$6)*10000)+Volatilities_Resets!$O53)),IF(BN64&gt;=BP$5,IF(BN64&lt;BQ$5,(((Volatilities_Resets!$O53-Volatilities_Resets!$M53)/50)*((Calculator!BN64-Calculator!BP$5)*10000)+Volatilities_Resets!$M53)),IF(BN64&gt;=BP$4,IF(BN64&lt;BQ$4,(((Volatilities_Resets!$M53-Volatilities_Resets!$K53)/50)*((Calculator!BN64-Calculator!BP$4)*10000)+Volatilities_Resets!$K53)),IF(BN64&gt;=BP$3,IF(BN64&lt;BQ$3,(((Volatilities_Resets!$K53-Volatilities_Resets!$I53)/50)*((Calculator!BN64-Calculator!BP$3)*10000)+Volatilities_Resets!$I53)),IF(BN64&gt;=BP$2,IF(BN64&lt;BQ$2,(((Volatilities_Resets!$I53-Volatilities_Resets!$G53)/50)*((Calculator!BN64-Calculator!BP$2)*10000)+Volatilities_Resets!$G53)),"Well, something broke...")))))))))))/10000</f>
        <v>1.3462999999999999E-2</v>
      </c>
      <c r="BQ64" s="63">
        <f t="shared" ca="1" si="35"/>
        <v>10638.318391575418</v>
      </c>
      <c r="BR64" s="63">
        <f t="shared" ca="1" si="36"/>
        <v>4.3085904649031698E-4</v>
      </c>
      <c r="BS64" s="63">
        <f t="shared" ca="1" si="47"/>
        <v>473847.51388614782</v>
      </c>
      <c r="BV64" s="63">
        <f t="shared" ca="1" si="37"/>
        <v>110.93005445354065</v>
      </c>
      <c r="BW64" s="63">
        <f ca="1">SUM($BV$15:BV64)</f>
        <v>4183.7115511763186</v>
      </c>
      <c r="BY64" s="52">
        <f ca="1">EXP(-AVERAGE(BO$15:BO64)*BL64)</f>
        <v>0.83307233130266056</v>
      </c>
      <c r="CA64" s="52">
        <f t="shared" ca="1" si="38"/>
        <v>50</v>
      </c>
      <c r="CB64" s="71">
        <f t="shared" ca="1" si="39"/>
        <v>46682</v>
      </c>
      <c r="CC64" s="71">
        <f t="shared" ca="1" si="12"/>
        <v>46713</v>
      </c>
      <c r="CD64" s="72">
        <f t="shared" ca="1" si="13"/>
        <v>31</v>
      </c>
      <c r="CE64" s="73">
        <f ca="1">SUM(CD$15:CD64)/360</f>
        <v>4.2277777777777779</v>
      </c>
      <c r="CF64" s="74">
        <f t="shared" si="14"/>
        <v>25000000</v>
      </c>
      <c r="CG64" s="59">
        <f t="shared" si="40"/>
        <v>0.06</v>
      </c>
      <c r="CH64" s="57">
        <f>Volatilities_Resets!$E53*0.01</f>
        <v>3.7595499999999997E-2</v>
      </c>
      <c r="CI64" s="61">
        <f>IF(CG64=CJ$11,Volatilities_Resets!$AA53,IF(CG64&gt;=CI$11,IF(CG64&lt;CJ$11,(((Volatilities_Resets!$AA53-Volatilities_Resets!$Y53)/50)*((Calculator!CG64-Calculator!CI$11)*10000)+Volatilities_Resets!$Y53)),IF(CG64&gt;=CI$10,IF(CG64&lt;CJ$10,(((Volatilities_Resets!$Y53-Volatilities_Resets!$W53)/50)*((Calculator!CG64-Calculator!CI$10)*10000)+Volatilities_Resets!$W53)),IF(CG64&gt;=CI$9,IF(CG64&lt;CJ$9,(((Volatilities_Resets!$W53-Volatilities_Resets!$U53)/50)*((Calculator!CG64-Calculator!CI$9)*10000)+Volatilities_Resets!$U53)),IF(CG64&gt;=CI$8,IF(CG64&lt;CJ$8,(((Volatilities_Resets!$U53-Volatilities_Resets!$S53)/50)*((Calculator!CG64-Calculator!CI$8)*10000)+Volatilities_Resets!$S53)),IF(CG64&gt;=CI$7,IF(CG64&lt;CJ$7,(((Volatilities_Resets!$S53-Volatilities_Resets!$Q53)/50)*((Calculator!CG64-Calculator!CI$7)*10000)+Volatilities_Resets!$Q53)),IF(CG64&gt;=CI$6,IF(CG64&lt;CJ$6,(((Volatilities_Resets!$Q53-Volatilities_Resets!$O53)/50)*((Calculator!CG64-Calculator!CI$6)*10000)+Volatilities_Resets!$O53)),IF(CG64&gt;=CI$5,IF(CG64&lt;CJ$5,(((Volatilities_Resets!$O53-Volatilities_Resets!$M53)/50)*((Calculator!CG64-Calculator!CI$5)*10000)+Volatilities_Resets!$M53)),IF(CG64&gt;=CI$4,IF(CG64&lt;CJ$4,(((Volatilities_Resets!$M53-Volatilities_Resets!$K53)/50)*((Calculator!CG64-Calculator!CI$4)*10000)+Volatilities_Resets!$K53)),IF(CG64&gt;=CI$3,IF(CG64&lt;CJ$3,(((Volatilities_Resets!$K53-Volatilities_Resets!$I53)/50)*((Calculator!CG64-Calculator!CI$3)*10000)+Volatilities_Resets!$I53)),IF(CG64&gt;=CI$2,IF(CG64&lt;CJ$2,(((Volatilities_Resets!$I53-Volatilities_Resets!$G53)/50)*((Calculator!CG64-Calculator!CI$2)*10000)+Volatilities_Resets!$G53)),"Well, something broke...")))))))))))/10000</f>
        <v>1.4463E-2</v>
      </c>
      <c r="CJ64" s="63">
        <f t="shared" ca="1" si="41"/>
        <v>6954.6295653748166</v>
      </c>
      <c r="CK64" s="63">
        <f t="shared" ca="1" si="42"/>
        <v>2.8262435603326481E-4</v>
      </c>
      <c r="CL64" s="63">
        <f t="shared" ca="1" si="48"/>
        <v>196050.15967698215</v>
      </c>
      <c r="CO64" s="63">
        <f t="shared" ca="1" si="43"/>
        <v>92.453813715419798</v>
      </c>
      <c r="CP64" s="63">
        <f ca="1">SUM($CO$15:CO64)</f>
        <v>3104.5144119781885</v>
      </c>
      <c r="CR64" s="52">
        <f ca="1">EXP(-AVERAGE(CH$15:CH64)*CE64)</f>
        <v>0.83307233130266056</v>
      </c>
      <c r="CT64"/>
      <c r="CU64"/>
      <c r="CV64"/>
      <c r="CW64"/>
      <c r="CX64"/>
      <c r="CY64"/>
      <c r="CZ64"/>
      <c r="DA64"/>
      <c r="DB64"/>
      <c r="DC64"/>
      <c r="DD64"/>
      <c r="DE64"/>
      <c r="DF64"/>
      <c r="DG64"/>
      <c r="DH64"/>
      <c r="DI64"/>
      <c r="DJ64"/>
      <c r="DK64"/>
      <c r="DL64"/>
    </row>
    <row r="65" spans="2:116" ht="15.75" customHeight="1" x14ac:dyDescent="0.2">
      <c r="B65" s="52">
        <v>5</v>
      </c>
      <c r="C65" s="52">
        <f t="shared" ca="1" si="49"/>
        <v>51</v>
      </c>
      <c r="D65" s="71">
        <f t="shared" ca="1" si="16"/>
        <v>46713</v>
      </c>
      <c r="E65" s="71">
        <f t="shared" ca="1" si="50"/>
        <v>46743</v>
      </c>
      <c r="F65" s="72">
        <f t="shared" ca="1" si="51"/>
        <v>30</v>
      </c>
      <c r="G65" s="73">
        <f ca="1">SUM($F$15:F65)/360</f>
        <v>4.3111111111111109</v>
      </c>
      <c r="H65" s="74">
        <f t="shared" si="2"/>
        <v>25000000</v>
      </c>
      <c r="I65" s="59">
        <f>IF('Cap Pricer'!$E$22=DataValidation!$C$2,'Cap Pricer'!$E$23,IF('Cap Pricer'!$E$22=DataValidation!$C$3,VLOOKUP($B65,'Cap Pricer'!$C$25:$E$31,3),""))</f>
        <v>0.02</v>
      </c>
      <c r="J65" s="57">
        <f>Volatilities_Resets!$E54*0.01</f>
        <v>3.7599399999999998E-2</v>
      </c>
      <c r="K65" s="61">
        <f>IF(I65=L$11,Volatilities_Resets!$AA54,IF(I65&gt;=K$11,IF(I65&lt;L$11,(((Volatilities_Resets!$AA54-Volatilities_Resets!$Y54)/50)*((Calculator!I65-Calculator!K$11)*10000)+Volatilities_Resets!$Y54)),IF(I65&gt;=K$10,IF(I65&lt;L$10,(((Volatilities_Resets!$Y54-Volatilities_Resets!$W54)/50)*((Calculator!I65-Calculator!K$10)*10000)+Volatilities_Resets!$W54)),IF(I65&gt;=K$9,IF(I65&lt;L$9,(((Volatilities_Resets!$W54-Volatilities_Resets!$U54)/50)*((Calculator!I65-Calculator!K$9)*10000)+Volatilities_Resets!$U54)),IF(I65&gt;=K$8,IF(I65&lt;L$8,(((Volatilities_Resets!$U54-Volatilities_Resets!$S54)/50)*((Calculator!I65-Calculator!K$8)*10000)+Volatilities_Resets!$S54)),IF(I65&gt;=K$7,IF(I65&lt;L$7,(((Volatilities_Resets!$S54-Volatilities_Resets!$Q54)/50)*((Calculator!I65-Calculator!K$7)*10000)+Volatilities_Resets!$Q54)),IF(I65&gt;=K$6,IF(I65&lt;L$6,(((Volatilities_Resets!$Q54-Volatilities_Resets!$O54)/50)*((Calculator!I65-Calculator!K$6)*10000)+Volatilities_Resets!$O54)),IF(I65&gt;=K$5,IF(I65&lt;L$5,(((Volatilities_Resets!$O54-Volatilities_Resets!$M54)/50)*((Calculator!I65-Calculator!K$5)*10000)+Volatilities_Resets!$M54)),IF(I65&gt;=K$4,IF(I65&lt;L$4,(((Volatilities_Resets!$M54-Volatilities_Resets!$K54)/50)*((Calculator!I65-Calculator!K$4)*10000)+Volatilities_Resets!$K54)),IF(I65&gt;=K$3,IF(I65&lt;L$3,(((Volatilities_Resets!$K54-Volatilities_Resets!$I54)/50)*((Calculator!I65-Calculator!K$3)*10000)+Volatilities_Resets!$I54)),IF(I65&gt;=K$2,IF(I65&lt;L$2,(((Volatilities_Resets!$I54-Volatilities_Resets!$G54)/50)*((Calculator!I65-Calculator!K$2)*10000)+Volatilities_Resets!$G54)),"Well, something broke...")))))))))))/10000</f>
        <v>1.2421E-2</v>
      </c>
      <c r="L65" s="47">
        <f t="shared" ca="1" si="17"/>
        <v>37016.999577896757</v>
      </c>
      <c r="M65" s="63">
        <f t="shared" ca="1" si="18"/>
        <v>1.4852302165660246E-3</v>
      </c>
      <c r="N65" s="63">
        <f t="shared" ca="1" si="44"/>
        <v>2534329.7385170297</v>
      </c>
      <c r="Q65" s="63">
        <f t="shared" ca="1" si="19"/>
        <v>94.471006897324358</v>
      </c>
      <c r="R65" s="63">
        <f ca="1">SUM($Q$15:Q65)</f>
        <v>3201.7386746916986</v>
      </c>
      <c r="T65" s="52">
        <f ca="1">EXP(-AVERAGE(J$15:J65)*G65)</f>
        <v>0.83047173673361052</v>
      </c>
      <c r="U65" s="57"/>
      <c r="V65" s="52">
        <f t="shared" ca="1" si="20"/>
        <v>51</v>
      </c>
      <c r="W65" s="71">
        <f t="shared" ca="1" si="21"/>
        <v>46713</v>
      </c>
      <c r="X65" s="71">
        <f t="shared" ca="1" si="3"/>
        <v>46743</v>
      </c>
      <c r="Y65" s="72">
        <f t="shared" ca="1" si="4"/>
        <v>30</v>
      </c>
      <c r="Z65" s="73">
        <f ca="1">SUM(Y$15:Y65)/360</f>
        <v>4.3111111111111109</v>
      </c>
      <c r="AA65" s="74">
        <f t="shared" si="22"/>
        <v>25000000</v>
      </c>
      <c r="AB65" s="59">
        <f t="shared" si="23"/>
        <v>0.03</v>
      </c>
      <c r="AC65" s="57">
        <f>Volatilities_Resets!$E54*0.01</f>
        <v>3.7599399999999998E-2</v>
      </c>
      <c r="AD65" s="61">
        <f>IF(AB65=AE$11,Volatilities_Resets!$AA54,IF(AB65&gt;=AD$11,IF(AB65&lt;AE$11,(((Volatilities_Resets!$AA54-Volatilities_Resets!$Y54)/50)*((Calculator!AB65-Calculator!AD$11)*10000)+Volatilities_Resets!$Y54)),IF(AB65&gt;=AD$10,IF(AB65&lt;AE$10,(((Volatilities_Resets!$Y54-Volatilities_Resets!$W54)/50)*((Calculator!AB65-Calculator!AD$10)*10000)+Volatilities_Resets!$W54)),IF(AB65&gt;=AD$9,IF(AB65&lt;AE$9,(((Volatilities_Resets!$W54-Volatilities_Resets!$U54)/50)*((Calculator!AB65-Calculator!AD$9)*10000)+Volatilities_Resets!$U54)),IF(AB65&gt;=AD$8,IF(AB65&lt;AE$8,(((Volatilities_Resets!$U54-Volatilities_Resets!$S54)/50)*((Calculator!AB65-Calculator!AD$8)*10000)+Volatilities_Resets!$S54)),IF(AB65&gt;=AD$7,IF(AB65&lt;AE$7,(((Volatilities_Resets!$S54-Volatilities_Resets!$Q54)/50)*((Calculator!AB65-Calculator!AD$7)*10000)+Volatilities_Resets!$Q54)),IF(AB65&gt;=AD$6,IF(AB65&lt;AE$6,(((Volatilities_Resets!$Q54-Volatilities_Resets!$O54)/50)*((Calculator!AB65-Calculator!AD$6)*10000)+Volatilities_Resets!$O54)),IF(AB65&gt;=AD$5,IF(AB65&lt;AE$5,(((Volatilities_Resets!$O54-Volatilities_Resets!$M54)/50)*((Calculator!AB65-Calculator!AD$5)*10000)+Volatilities_Resets!$M54)),IF(AB65&gt;=AD$4,IF(AB65&lt;AE$4,(((Volatilities_Resets!$M54-Volatilities_Resets!$K54)/50)*((Calculator!AB65-Calculator!AD$4)*10000)+Volatilities_Resets!$K54)),IF(AB65&gt;=AD$3,IF(AB65&lt;AE$3,(((Volatilities_Resets!$K54-Volatilities_Resets!$I54)/50)*((Calculator!AB65-Calculator!AD$3)*10000)+Volatilities_Resets!$I54)),IF(AB65&gt;=AD$2,IF(AB65&lt;AE$2,(((Volatilities_Resets!$I54-Volatilities_Resets!$G54)/50)*((Calculator!AB65-Calculator!AD$2)*10000)+Volatilities_Resets!$G54)),"Well, something broke...")))))))))))/10000</f>
        <v>1.24E-2</v>
      </c>
      <c r="AE65" s="63">
        <f t="shared" ca="1" si="24"/>
        <v>25113.515929037472</v>
      </c>
      <c r="AF65" s="63">
        <f t="shared" ca="1" si="25"/>
        <v>1.0100307518409318E-3</v>
      </c>
      <c r="AG65" s="63">
        <f t="shared" ca="1" si="45"/>
        <v>1738934.5352806002</v>
      </c>
      <c r="AJ65" s="63">
        <f t="shared" ca="1" si="26"/>
        <v>113.98462681738475</v>
      </c>
      <c r="AK65" s="63">
        <f ca="1">SUM($AJ$15:AJ65)</f>
        <v>3951.0082210606652</v>
      </c>
      <c r="AM65" s="52">
        <f ca="1">EXP(-AVERAGE(AC$15:AC65)*Z65)</f>
        <v>0.83047173673361052</v>
      </c>
      <c r="AO65" s="52">
        <f t="shared" ca="1" si="27"/>
        <v>51</v>
      </c>
      <c r="AP65" s="71">
        <f t="shared" ca="1" si="28"/>
        <v>46713</v>
      </c>
      <c r="AQ65" s="71">
        <f t="shared" ca="1" si="5"/>
        <v>46743</v>
      </c>
      <c r="AR65" s="72">
        <f t="shared" ca="1" si="6"/>
        <v>30</v>
      </c>
      <c r="AS65" s="73">
        <f ca="1">SUM(AR$15:AR65)/360</f>
        <v>4.3111111111111109</v>
      </c>
      <c r="AT65" s="74">
        <f t="shared" si="7"/>
        <v>25000000</v>
      </c>
      <c r="AU65" s="59">
        <f t="shared" si="29"/>
        <v>0.04</v>
      </c>
      <c r="AV65" s="57">
        <f>Volatilities_Resets!$E54*0.01</f>
        <v>3.7599399999999998E-2</v>
      </c>
      <c r="AW65" s="61">
        <f>IF(AU65=AX$11,Volatilities_Resets!$AA54,IF(AU65&gt;=AW$11,IF(AU65&lt;AX$11,(((Volatilities_Resets!$AA54-Volatilities_Resets!$Y54)/50)*((Calculator!AU65-Calculator!AW$11)*10000)+Volatilities_Resets!$Y54)),IF(AU65&gt;=AW$10,IF(AU65&lt;AX$10,(((Volatilities_Resets!$Y54-Volatilities_Resets!$W54)/50)*((Calculator!AU65-Calculator!AW$10)*10000)+Volatilities_Resets!$W54)),IF(AU65&gt;=AW$9,IF(AU65&lt;AX$9,(((Volatilities_Resets!$W54-Volatilities_Resets!$U54)/50)*((Calculator!AU65-Calculator!AW$9)*10000)+Volatilities_Resets!$U54)),IF(AU65&gt;=AW$8,IF(AU65&lt;AX$8,(((Volatilities_Resets!$U54-Volatilities_Resets!$S54)/50)*((Calculator!AU65-Calculator!AW$8)*10000)+Volatilities_Resets!$S54)),IF(AU65&gt;=AW$7,IF(AU65&lt;AX$7,(((Volatilities_Resets!$S54-Volatilities_Resets!$Q54)/50)*((Calculator!AU65-Calculator!AW$7)*10000)+Volatilities_Resets!$Q54)),IF(AU65&gt;=AW$6,IF(AU65&lt;AX$6,(((Volatilities_Resets!$Q54-Volatilities_Resets!$O54)/50)*((Calculator!AU65-Calculator!AW$6)*10000)+Volatilities_Resets!$O54)),IF(AU65&gt;=AW$5,IF(AU65&lt;AX$5,(((Volatilities_Resets!$O54-Volatilities_Resets!$M54)/50)*((Calculator!AU65-Calculator!AW$5)*10000)+Volatilities_Resets!$M54)),IF(AU65&gt;=AW$4,IF(AU65&lt;AX$4,(((Volatilities_Resets!$M54-Volatilities_Resets!$K54)/50)*((Calculator!AU65-Calculator!AW$4)*10000)+Volatilities_Resets!$K54)),IF(AU65&gt;=AW$3,IF(AU65&lt;AX$3,(((Volatilities_Resets!$K54-Volatilities_Resets!$I54)/50)*((Calculator!AU65-Calculator!AW$3)*10000)+Volatilities_Resets!$I54)),IF(AU65&gt;=AW$2,IF(AU65&lt;AX$2,(((Volatilities_Resets!$I54-Volatilities_Resets!$G54)/50)*((Calculator!AU65-Calculator!AW$2)*10000)+Volatilities_Resets!$G54)),"Well, something broke...")))))))))))/10000</f>
        <v>1.2744E-2</v>
      </c>
      <c r="AX65" s="63">
        <f t="shared" ca="1" si="30"/>
        <v>16262.335417119461</v>
      </c>
      <c r="AY65" s="63">
        <f t="shared" ca="1" si="31"/>
        <v>6.5620261222183783E-4</v>
      </c>
      <c r="AZ65" s="63">
        <f t="shared" ca="1" si="46"/>
        <v>1031940.0055463888</v>
      </c>
      <c r="BC65" s="63">
        <f t="shared" ca="1" si="8"/>
        <v>118.53313832533802</v>
      </c>
      <c r="BD65" s="63">
        <f ca="1">SUM($BC$15:BC65)</f>
        <v>4349.1722775586077</v>
      </c>
      <c r="BF65" s="52">
        <f ca="1">EXP(-AVERAGE(AV$15:AV65)*AS65)</f>
        <v>0.83047173673361052</v>
      </c>
      <c r="BH65" s="52">
        <f t="shared" ca="1" si="32"/>
        <v>51</v>
      </c>
      <c r="BI65" s="71">
        <f t="shared" ca="1" si="33"/>
        <v>46713</v>
      </c>
      <c r="BJ65" s="71">
        <f t="shared" ca="1" si="9"/>
        <v>46743</v>
      </c>
      <c r="BK65" s="72">
        <f t="shared" ca="1" si="10"/>
        <v>30</v>
      </c>
      <c r="BL65" s="73">
        <f ca="1">SUM(BK$15:BK65)/360</f>
        <v>4.3111111111111109</v>
      </c>
      <c r="BM65" s="74">
        <f t="shared" si="11"/>
        <v>25000000</v>
      </c>
      <c r="BN65" s="59">
        <f t="shared" si="34"/>
        <v>0.05</v>
      </c>
      <c r="BO65" s="57">
        <f>Volatilities_Resets!$E54*0.01</f>
        <v>3.7599399999999998E-2</v>
      </c>
      <c r="BP65" s="61">
        <f>IF(BN65=BQ$11,Volatilities_Resets!$AA54,IF(BN65&gt;=BP$11,IF(BN65&lt;BQ$11,(((Volatilities_Resets!$AA54-Volatilities_Resets!$Y54)/50)*((Calculator!BN65-Calculator!BP$11)*10000)+Volatilities_Resets!$Y54)),IF(BN65&gt;=BP$10,IF(BN65&lt;BQ$10,(((Volatilities_Resets!$Y54-Volatilities_Resets!$W54)/50)*((Calculator!BN65-Calculator!BP$10)*10000)+Volatilities_Resets!$W54)),IF(BN65&gt;=BP$9,IF(BN65&lt;BQ$9,(((Volatilities_Resets!$W54-Volatilities_Resets!$U54)/50)*((Calculator!BN65-Calculator!BP$9)*10000)+Volatilities_Resets!$U54)),IF(BN65&gt;=BP$8,IF(BN65&lt;BQ$8,(((Volatilities_Resets!$U54-Volatilities_Resets!$S54)/50)*((Calculator!BN65-Calculator!BP$8)*10000)+Volatilities_Resets!$S54)),IF(BN65&gt;=BP$7,IF(BN65&lt;BQ$7,(((Volatilities_Resets!$S54-Volatilities_Resets!$Q54)/50)*((Calculator!BN65-Calculator!BP$7)*10000)+Volatilities_Resets!$Q54)),IF(BN65&gt;=BP$6,IF(BN65&lt;BQ$6,(((Volatilities_Resets!$Q54-Volatilities_Resets!$O54)/50)*((Calculator!BN65-Calculator!BP$6)*10000)+Volatilities_Resets!$O54)),IF(BN65&gt;=BP$5,IF(BN65&lt;BQ$5,(((Volatilities_Resets!$O54-Volatilities_Resets!$M54)/50)*((Calculator!BN65-Calculator!BP$5)*10000)+Volatilities_Resets!$M54)),IF(BN65&gt;=BP$4,IF(BN65&lt;BQ$4,(((Volatilities_Resets!$M54-Volatilities_Resets!$K54)/50)*((Calculator!BN65-Calculator!BP$4)*10000)+Volatilities_Resets!$K54)),IF(BN65&gt;=BP$3,IF(BN65&lt;BQ$3,(((Volatilities_Resets!$K54-Volatilities_Resets!$I54)/50)*((Calculator!BN65-Calculator!BP$3)*10000)+Volatilities_Resets!$I54)),IF(BN65&gt;=BP$2,IF(BN65&lt;BQ$2,(((Volatilities_Resets!$I54-Volatilities_Resets!$G54)/50)*((Calculator!BN65-Calculator!BP$2)*10000)+Volatilities_Resets!$G54)),"Well, something broke...")))))))))))/10000</f>
        <v>1.3462999999999999E-2</v>
      </c>
      <c r="BQ65" s="63">
        <f t="shared" ca="1" si="35"/>
        <v>10434.880115696444</v>
      </c>
      <c r="BR65" s="63">
        <f t="shared" ca="1" si="36"/>
        <v>4.2259432722712884E-4</v>
      </c>
      <c r="BS65" s="63">
        <f t="shared" ca="1" si="47"/>
        <v>484282.39400184428</v>
      </c>
      <c r="BV65" s="63">
        <f t="shared" ca="1" si="37"/>
        <v>107.94310936269021</v>
      </c>
      <c r="BW65" s="63">
        <f ca="1">SUM($BV$15:BV65)</f>
        <v>4291.6546605390085</v>
      </c>
      <c r="BY65" s="52">
        <f ca="1">EXP(-AVERAGE(BO$15:BO65)*BL65)</f>
        <v>0.83047173673361052</v>
      </c>
      <c r="CA65" s="52">
        <f t="shared" ca="1" si="38"/>
        <v>51</v>
      </c>
      <c r="CB65" s="71">
        <f t="shared" ca="1" si="39"/>
        <v>46713</v>
      </c>
      <c r="CC65" s="71">
        <f t="shared" ca="1" si="12"/>
        <v>46743</v>
      </c>
      <c r="CD65" s="72">
        <f t="shared" ca="1" si="13"/>
        <v>30</v>
      </c>
      <c r="CE65" s="73">
        <f ca="1">SUM(CD$15:CD65)/360</f>
        <v>4.3111111111111109</v>
      </c>
      <c r="CF65" s="74">
        <f t="shared" si="14"/>
        <v>25000000</v>
      </c>
      <c r="CG65" s="59">
        <f t="shared" si="40"/>
        <v>0.06</v>
      </c>
      <c r="CH65" s="57">
        <f>Volatilities_Resets!$E54*0.01</f>
        <v>3.7599399999999998E-2</v>
      </c>
      <c r="CI65" s="61">
        <f>IF(CG65=CJ$11,Volatilities_Resets!$AA54,IF(CG65&gt;=CI$11,IF(CG65&lt;CJ$11,(((Volatilities_Resets!$AA54-Volatilities_Resets!$Y54)/50)*((Calculator!CG65-Calculator!CI$11)*10000)+Volatilities_Resets!$Y54)),IF(CG65&gt;=CI$10,IF(CG65&lt;CJ$10,(((Volatilities_Resets!$Y54-Volatilities_Resets!$W54)/50)*((Calculator!CG65-Calculator!CI$10)*10000)+Volatilities_Resets!$W54)),IF(CG65&gt;=CI$9,IF(CG65&lt;CJ$9,(((Volatilities_Resets!$W54-Volatilities_Resets!$U54)/50)*((Calculator!CG65-Calculator!CI$9)*10000)+Volatilities_Resets!$U54)),IF(CG65&gt;=CI$8,IF(CG65&lt;CJ$8,(((Volatilities_Resets!$U54-Volatilities_Resets!$S54)/50)*((Calculator!CG65-Calculator!CI$8)*10000)+Volatilities_Resets!$S54)),IF(CG65&gt;=CI$7,IF(CG65&lt;CJ$7,(((Volatilities_Resets!$S54-Volatilities_Resets!$Q54)/50)*((Calculator!CG65-Calculator!CI$7)*10000)+Volatilities_Resets!$Q54)),IF(CG65&gt;=CI$6,IF(CG65&lt;CJ$6,(((Volatilities_Resets!$Q54-Volatilities_Resets!$O54)/50)*((Calculator!CG65-Calculator!CI$6)*10000)+Volatilities_Resets!$O54)),IF(CG65&gt;=CI$5,IF(CG65&lt;CJ$5,(((Volatilities_Resets!$O54-Volatilities_Resets!$M54)/50)*((Calculator!CG65-Calculator!CI$5)*10000)+Volatilities_Resets!$M54)),IF(CG65&gt;=CI$4,IF(CG65&lt;CJ$4,(((Volatilities_Resets!$M54-Volatilities_Resets!$K54)/50)*((Calculator!CG65-Calculator!CI$4)*10000)+Volatilities_Resets!$K54)),IF(CG65&gt;=CI$3,IF(CG65&lt;CJ$3,(((Volatilities_Resets!$K54-Volatilities_Resets!$I54)/50)*((Calculator!CG65-Calculator!CI$3)*10000)+Volatilities_Resets!$I54)),IF(CG65&gt;=CI$2,IF(CG65&lt;CJ$2,(((Volatilities_Resets!$I54-Volatilities_Resets!$G54)/50)*((Calculator!CG65-Calculator!CI$2)*10000)+Volatilities_Resets!$G54)),"Well, something broke...")))))))))))/10000</f>
        <v>1.4462000000000001E-2</v>
      </c>
      <c r="CJ65" s="63">
        <f t="shared" ca="1" si="41"/>
        <v>6861.7156710032168</v>
      </c>
      <c r="CK65" s="63">
        <f t="shared" ca="1" si="42"/>
        <v>2.7881706890774555E-4</v>
      </c>
      <c r="CL65" s="63">
        <f t="shared" ca="1" si="48"/>
        <v>202911.87534798536</v>
      </c>
      <c r="CO65" s="63">
        <f t="shared" ca="1" si="43"/>
        <v>90.281455899482069</v>
      </c>
      <c r="CP65" s="63">
        <f ca="1">SUM($CO$15:CO65)</f>
        <v>3194.7958678776704</v>
      </c>
      <c r="CR65" s="52">
        <f ca="1">EXP(-AVERAGE(CH$15:CH65)*CE65)</f>
        <v>0.83047173673361052</v>
      </c>
      <c r="CT65"/>
      <c r="CU65"/>
      <c r="CV65"/>
      <c r="CW65"/>
      <c r="CX65"/>
      <c r="CY65"/>
      <c r="CZ65"/>
      <c r="DA65"/>
      <c r="DB65"/>
      <c r="DC65"/>
      <c r="DD65"/>
      <c r="DE65"/>
      <c r="DF65"/>
      <c r="DG65"/>
      <c r="DH65"/>
      <c r="DI65"/>
      <c r="DJ65"/>
      <c r="DK65"/>
      <c r="DL65"/>
    </row>
    <row r="66" spans="2:116" ht="15.75" customHeight="1" x14ac:dyDescent="0.2">
      <c r="B66" s="52">
        <v>5</v>
      </c>
      <c r="C66" s="52">
        <f t="shared" ca="1" si="49"/>
        <v>52</v>
      </c>
      <c r="D66" s="71">
        <f t="shared" ca="1" si="16"/>
        <v>46743</v>
      </c>
      <c r="E66" s="71">
        <f t="shared" ca="1" si="50"/>
        <v>46774</v>
      </c>
      <c r="F66" s="72">
        <f t="shared" ca="1" si="51"/>
        <v>31</v>
      </c>
      <c r="G66" s="73">
        <f ca="1">SUM($F$15:F66)/360</f>
        <v>4.3972222222222221</v>
      </c>
      <c r="H66" s="74">
        <f t="shared" si="2"/>
        <v>25000000</v>
      </c>
      <c r="I66" s="59">
        <f>IF('Cap Pricer'!$E$22=DataValidation!$C$2,'Cap Pricer'!$E$23,IF('Cap Pricer'!$E$22=DataValidation!$C$3,VLOOKUP($B66,'Cap Pricer'!$C$25:$E$31,3),""))</f>
        <v>0.02</v>
      </c>
      <c r="J66" s="57">
        <f>Volatilities_Resets!$E55*0.01</f>
        <v>3.7595499999999997E-2</v>
      </c>
      <c r="K66" s="61">
        <f>IF(I66=L$11,Volatilities_Resets!$AA55,IF(I66&gt;=K$11,IF(I66&lt;L$11,(((Volatilities_Resets!$AA55-Volatilities_Resets!$Y55)/50)*((Calculator!I66-Calculator!K$11)*10000)+Volatilities_Resets!$Y55)),IF(I66&gt;=K$10,IF(I66&lt;L$10,(((Volatilities_Resets!$Y55-Volatilities_Resets!$W55)/50)*((Calculator!I66-Calculator!K$10)*10000)+Volatilities_Resets!$W55)),IF(I66&gt;=K$9,IF(I66&lt;L$9,(((Volatilities_Resets!$W55-Volatilities_Resets!$U55)/50)*((Calculator!I66-Calculator!K$9)*10000)+Volatilities_Resets!$U55)),IF(I66&gt;=K$8,IF(I66&lt;L$8,(((Volatilities_Resets!$U55-Volatilities_Resets!$S55)/50)*((Calculator!I66-Calculator!K$8)*10000)+Volatilities_Resets!$S55)),IF(I66&gt;=K$7,IF(I66&lt;L$7,(((Volatilities_Resets!$S55-Volatilities_Resets!$Q55)/50)*((Calculator!I66-Calculator!K$7)*10000)+Volatilities_Resets!$Q55)),IF(I66&gt;=K$6,IF(I66&lt;L$6,(((Volatilities_Resets!$Q55-Volatilities_Resets!$O55)/50)*((Calculator!I66-Calculator!K$6)*10000)+Volatilities_Resets!$O55)),IF(I66&gt;=K$5,IF(I66&lt;L$5,(((Volatilities_Resets!$O55-Volatilities_Resets!$M55)/50)*((Calculator!I66-Calculator!K$5)*10000)+Volatilities_Resets!$M55)),IF(I66&gt;=K$4,IF(I66&lt;L$4,(((Volatilities_Resets!$M55-Volatilities_Resets!$K55)/50)*((Calculator!I66-Calculator!K$4)*10000)+Volatilities_Resets!$K55)),IF(I66&gt;=K$3,IF(I66&lt;L$3,(((Volatilities_Resets!$K55-Volatilities_Resets!$I55)/50)*((Calculator!I66-Calculator!K$3)*10000)+Volatilities_Resets!$I55)),IF(I66&gt;=K$2,IF(I66&lt;L$2,(((Volatilities_Resets!$I55-Volatilities_Resets!$G55)/50)*((Calculator!I66-Calculator!K$2)*10000)+Volatilities_Resets!$G55)),"Well, something broke...")))))))))))/10000</f>
        <v>1.2421E-2</v>
      </c>
      <c r="L66" s="47">
        <f t="shared" ca="1" si="17"/>
        <v>38266.416443742797</v>
      </c>
      <c r="M66" s="63">
        <f t="shared" ca="1" si="18"/>
        <v>1.5354118391268387E-3</v>
      </c>
      <c r="N66" s="63">
        <f t="shared" ca="1" si="44"/>
        <v>2572596.1549607725</v>
      </c>
      <c r="Q66" s="63">
        <f t="shared" ca="1" si="19"/>
        <v>98.406157865297999</v>
      </c>
      <c r="R66" s="63">
        <f ca="1">SUM($Q$15:Q66)</f>
        <v>3300.1448325569968</v>
      </c>
      <c r="T66" s="52">
        <f ca="1">EXP(-AVERAGE(J$15:J66)*G66)</f>
        <v>0.82778047826858936</v>
      </c>
      <c r="U66" s="57"/>
      <c r="V66" s="52">
        <f t="shared" ca="1" si="20"/>
        <v>52</v>
      </c>
      <c r="W66" s="71">
        <f t="shared" ca="1" si="21"/>
        <v>46743</v>
      </c>
      <c r="X66" s="71">
        <f t="shared" ca="1" si="3"/>
        <v>46774</v>
      </c>
      <c r="Y66" s="72">
        <f t="shared" ca="1" si="4"/>
        <v>31</v>
      </c>
      <c r="Z66" s="73">
        <f ca="1">SUM(Y$15:Y66)/360</f>
        <v>4.3972222222222221</v>
      </c>
      <c r="AA66" s="74">
        <f t="shared" si="22"/>
        <v>25000000</v>
      </c>
      <c r="AB66" s="59">
        <f t="shared" si="23"/>
        <v>0.03</v>
      </c>
      <c r="AC66" s="57">
        <f>Volatilities_Resets!$E55*0.01</f>
        <v>3.7595499999999997E-2</v>
      </c>
      <c r="AD66" s="61">
        <f>IF(AB66=AE$11,Volatilities_Resets!$AA55,IF(AB66&gt;=AD$11,IF(AB66&lt;AE$11,(((Volatilities_Resets!$AA55-Volatilities_Resets!$Y55)/50)*((Calculator!AB66-Calculator!AD$11)*10000)+Volatilities_Resets!$Y55)),IF(AB66&gt;=AD$10,IF(AB66&lt;AE$10,(((Volatilities_Resets!$Y55-Volatilities_Resets!$W55)/50)*((Calculator!AB66-Calculator!AD$10)*10000)+Volatilities_Resets!$W55)),IF(AB66&gt;=AD$9,IF(AB66&lt;AE$9,(((Volatilities_Resets!$W55-Volatilities_Resets!$U55)/50)*((Calculator!AB66-Calculator!AD$9)*10000)+Volatilities_Resets!$U55)),IF(AB66&gt;=AD$8,IF(AB66&lt;AE$8,(((Volatilities_Resets!$U55-Volatilities_Resets!$S55)/50)*((Calculator!AB66-Calculator!AD$8)*10000)+Volatilities_Resets!$S55)),IF(AB66&gt;=AD$7,IF(AB66&lt;AE$7,(((Volatilities_Resets!$S55-Volatilities_Resets!$Q55)/50)*((Calculator!AB66-Calculator!AD$7)*10000)+Volatilities_Resets!$Q55)),IF(AB66&gt;=AD$6,IF(AB66&lt;AE$6,(((Volatilities_Resets!$Q55-Volatilities_Resets!$O55)/50)*((Calculator!AB66-Calculator!AD$6)*10000)+Volatilities_Resets!$O55)),IF(AB66&gt;=AD$5,IF(AB66&lt;AE$5,(((Volatilities_Resets!$O55-Volatilities_Resets!$M55)/50)*((Calculator!AB66-Calculator!AD$5)*10000)+Volatilities_Resets!$M55)),IF(AB66&gt;=AD$4,IF(AB66&lt;AE$4,(((Volatilities_Resets!$M55-Volatilities_Resets!$K55)/50)*((Calculator!AB66-Calculator!AD$4)*10000)+Volatilities_Resets!$K55)),IF(AB66&gt;=AD$3,IF(AB66&lt;AE$3,(((Volatilities_Resets!$K55-Volatilities_Resets!$I55)/50)*((Calculator!AB66-Calculator!AD$3)*10000)+Volatilities_Resets!$I55)),IF(AB66&gt;=AD$2,IF(AB66&lt;AE$2,(((Volatilities_Resets!$I55-Volatilities_Resets!$G55)/50)*((Calculator!AB66-Calculator!AD$2)*10000)+Volatilities_Resets!$G55)),"Well, something broke...")))))))))))/10000</f>
        <v>1.24E-2</v>
      </c>
      <c r="AE66" s="63">
        <f t="shared" ca="1" si="24"/>
        <v>26036.482043628588</v>
      </c>
      <c r="AF66" s="63">
        <f t="shared" ca="1" si="25"/>
        <v>1.047175294254676E-3</v>
      </c>
      <c r="AG66" s="63">
        <f t="shared" ca="1" si="45"/>
        <v>1764971.0173242288</v>
      </c>
      <c r="AJ66" s="63">
        <f t="shared" ca="1" si="26"/>
        <v>118.29008922325097</v>
      </c>
      <c r="AK66" s="63">
        <f ca="1">SUM($AJ$15:AJ66)</f>
        <v>4069.2983102839162</v>
      </c>
      <c r="AM66" s="52">
        <f ca="1">EXP(-AVERAGE(AC$15:AC66)*Z66)</f>
        <v>0.82778047826858936</v>
      </c>
      <c r="AO66" s="52">
        <f t="shared" ca="1" si="27"/>
        <v>52</v>
      </c>
      <c r="AP66" s="71">
        <f t="shared" ca="1" si="28"/>
        <v>46743</v>
      </c>
      <c r="AQ66" s="71">
        <f t="shared" ca="1" si="5"/>
        <v>46774</v>
      </c>
      <c r="AR66" s="72">
        <f t="shared" ca="1" si="6"/>
        <v>31</v>
      </c>
      <c r="AS66" s="73">
        <f ca="1">SUM(AR$15:AR66)/360</f>
        <v>4.3972222222222221</v>
      </c>
      <c r="AT66" s="74">
        <f t="shared" si="7"/>
        <v>25000000</v>
      </c>
      <c r="AU66" s="59">
        <f t="shared" si="29"/>
        <v>0.04</v>
      </c>
      <c r="AV66" s="57">
        <f>Volatilities_Resets!$E55*0.01</f>
        <v>3.7595499999999997E-2</v>
      </c>
      <c r="AW66" s="61">
        <f>IF(AU66=AX$11,Volatilities_Resets!$AA55,IF(AU66&gt;=AW$11,IF(AU66&lt;AX$11,(((Volatilities_Resets!$AA55-Volatilities_Resets!$Y55)/50)*((Calculator!AU66-Calculator!AW$11)*10000)+Volatilities_Resets!$Y55)),IF(AU66&gt;=AW$10,IF(AU66&lt;AX$10,(((Volatilities_Resets!$Y55-Volatilities_Resets!$W55)/50)*((Calculator!AU66-Calculator!AW$10)*10000)+Volatilities_Resets!$W55)),IF(AU66&gt;=AW$9,IF(AU66&lt;AX$9,(((Volatilities_Resets!$W55-Volatilities_Resets!$U55)/50)*((Calculator!AU66-Calculator!AW$9)*10000)+Volatilities_Resets!$U55)),IF(AU66&gt;=AW$8,IF(AU66&lt;AX$8,(((Volatilities_Resets!$U55-Volatilities_Resets!$S55)/50)*((Calculator!AU66-Calculator!AW$8)*10000)+Volatilities_Resets!$S55)),IF(AU66&gt;=AW$7,IF(AU66&lt;AX$7,(((Volatilities_Resets!$S55-Volatilities_Resets!$Q55)/50)*((Calculator!AU66-Calculator!AW$7)*10000)+Volatilities_Resets!$Q55)),IF(AU66&gt;=AW$6,IF(AU66&lt;AX$6,(((Volatilities_Resets!$Q55-Volatilities_Resets!$O55)/50)*((Calculator!AU66-Calculator!AW$6)*10000)+Volatilities_Resets!$O55)),IF(AU66&gt;=AW$5,IF(AU66&lt;AX$5,(((Volatilities_Resets!$O55-Volatilities_Resets!$M55)/50)*((Calculator!AU66-Calculator!AW$5)*10000)+Volatilities_Resets!$M55)),IF(AU66&gt;=AW$4,IF(AU66&lt;AX$4,(((Volatilities_Resets!$M55-Volatilities_Resets!$K55)/50)*((Calculator!AU66-Calculator!AW$4)*10000)+Volatilities_Resets!$K55)),IF(AU66&gt;=AW$3,IF(AU66&lt;AX$3,(((Volatilities_Resets!$K55-Volatilities_Resets!$I55)/50)*((Calculator!AU66-Calculator!AW$3)*10000)+Volatilities_Resets!$I55)),IF(AU66&gt;=AW$2,IF(AU66&lt;AX$2,(((Volatilities_Resets!$I55-Volatilities_Resets!$G55)/50)*((Calculator!AU66-Calculator!AW$2)*10000)+Volatilities_Resets!$G55)),"Well, something broke...")))))))))))/10000</f>
        <v>1.2745000000000001E-2</v>
      </c>
      <c r="AX66" s="63">
        <f t="shared" ca="1" si="30"/>
        <v>16934.399037741041</v>
      </c>
      <c r="AY66" s="63">
        <f t="shared" ca="1" si="31"/>
        <v>6.8331518442581716E-4</v>
      </c>
      <c r="AZ66" s="63">
        <f t="shared" ca="1" si="46"/>
        <v>1048874.4045841298</v>
      </c>
      <c r="BC66" s="63">
        <f t="shared" ca="1" si="8"/>
        <v>122.90931965238762</v>
      </c>
      <c r="BD66" s="63">
        <f ca="1">SUM($BC$15:BC66)</f>
        <v>4472.0815972109949</v>
      </c>
      <c r="BF66" s="52">
        <f ca="1">EXP(-AVERAGE(AV$15:AV66)*AS66)</f>
        <v>0.82778047826858936</v>
      </c>
      <c r="BH66" s="52">
        <f t="shared" ca="1" si="32"/>
        <v>52</v>
      </c>
      <c r="BI66" s="71">
        <f t="shared" ca="1" si="33"/>
        <v>46743</v>
      </c>
      <c r="BJ66" s="71">
        <f t="shared" ca="1" si="9"/>
        <v>46774</v>
      </c>
      <c r="BK66" s="72">
        <f t="shared" ca="1" si="10"/>
        <v>31</v>
      </c>
      <c r="BL66" s="73">
        <f ca="1">SUM(BK$15:BK66)/360</f>
        <v>4.3972222222222221</v>
      </c>
      <c r="BM66" s="74">
        <f t="shared" si="11"/>
        <v>25000000</v>
      </c>
      <c r="BN66" s="59">
        <f t="shared" si="34"/>
        <v>0.05</v>
      </c>
      <c r="BO66" s="57">
        <f>Volatilities_Resets!$E55*0.01</f>
        <v>3.7595499999999997E-2</v>
      </c>
      <c r="BP66" s="61">
        <f>IF(BN66=BQ$11,Volatilities_Resets!$AA55,IF(BN66&gt;=BP$11,IF(BN66&lt;BQ$11,(((Volatilities_Resets!$AA55-Volatilities_Resets!$Y55)/50)*((Calculator!BN66-Calculator!BP$11)*10000)+Volatilities_Resets!$Y55)),IF(BN66&gt;=BP$10,IF(BN66&lt;BQ$10,(((Volatilities_Resets!$Y55-Volatilities_Resets!$W55)/50)*((Calculator!BN66-Calculator!BP$10)*10000)+Volatilities_Resets!$W55)),IF(BN66&gt;=BP$9,IF(BN66&lt;BQ$9,(((Volatilities_Resets!$W55-Volatilities_Resets!$U55)/50)*((Calculator!BN66-Calculator!BP$9)*10000)+Volatilities_Resets!$U55)),IF(BN66&gt;=BP$8,IF(BN66&lt;BQ$8,(((Volatilities_Resets!$U55-Volatilities_Resets!$S55)/50)*((Calculator!BN66-Calculator!BP$8)*10000)+Volatilities_Resets!$S55)),IF(BN66&gt;=BP$7,IF(BN66&lt;BQ$7,(((Volatilities_Resets!$S55-Volatilities_Resets!$Q55)/50)*((Calculator!BN66-Calculator!BP$7)*10000)+Volatilities_Resets!$Q55)),IF(BN66&gt;=BP$6,IF(BN66&lt;BQ$6,(((Volatilities_Resets!$Q55-Volatilities_Resets!$O55)/50)*((Calculator!BN66-Calculator!BP$6)*10000)+Volatilities_Resets!$O55)),IF(BN66&gt;=BP$5,IF(BN66&lt;BQ$5,(((Volatilities_Resets!$O55-Volatilities_Resets!$M55)/50)*((Calculator!BN66-Calculator!BP$5)*10000)+Volatilities_Resets!$M55)),IF(BN66&gt;=BP$4,IF(BN66&lt;BQ$4,(((Volatilities_Resets!$M55-Volatilities_Resets!$K55)/50)*((Calculator!BN66-Calculator!BP$4)*10000)+Volatilities_Resets!$K55)),IF(BN66&gt;=BP$3,IF(BN66&lt;BQ$3,(((Volatilities_Resets!$K55-Volatilities_Resets!$I55)/50)*((Calculator!BN66-Calculator!BP$3)*10000)+Volatilities_Resets!$I55)),IF(BN66&gt;=BP$2,IF(BN66&lt;BQ$2,(((Volatilities_Resets!$I55-Volatilities_Resets!$G55)/50)*((Calculator!BN66-Calculator!BP$2)*10000)+Volatilities_Resets!$G55)),"Well, something broke...")))))))))))/10000</f>
        <v>1.3463999999999999E-2</v>
      </c>
      <c r="BQ66" s="63">
        <f t="shared" ca="1" si="35"/>
        <v>10925.982946918046</v>
      </c>
      <c r="BR66" s="63">
        <f t="shared" ca="1" si="36"/>
        <v>4.424576558879273E-4</v>
      </c>
      <c r="BS66" s="63">
        <f t="shared" ca="1" si="47"/>
        <v>495208.37694876234</v>
      </c>
      <c r="BV66" s="63">
        <f t="shared" ca="1" si="37"/>
        <v>112.12986075841387</v>
      </c>
      <c r="BW66" s="63">
        <f ca="1">SUM($BV$15:BV66)</f>
        <v>4403.7845212974225</v>
      </c>
      <c r="BY66" s="52">
        <f ca="1">EXP(-AVERAGE(BO$15:BO66)*BL66)</f>
        <v>0.82778047826858936</v>
      </c>
      <c r="CA66" s="52">
        <f t="shared" ca="1" si="38"/>
        <v>52</v>
      </c>
      <c r="CB66" s="71">
        <f t="shared" ca="1" si="39"/>
        <v>46743</v>
      </c>
      <c r="CC66" s="71">
        <f t="shared" ca="1" si="12"/>
        <v>46774</v>
      </c>
      <c r="CD66" s="72">
        <f t="shared" ca="1" si="13"/>
        <v>31</v>
      </c>
      <c r="CE66" s="73">
        <f ca="1">SUM(CD$15:CD66)/360</f>
        <v>4.3972222222222221</v>
      </c>
      <c r="CF66" s="74">
        <f t="shared" si="14"/>
        <v>25000000</v>
      </c>
      <c r="CG66" s="59">
        <f t="shared" si="40"/>
        <v>0.06</v>
      </c>
      <c r="CH66" s="57">
        <f>Volatilities_Resets!$E55*0.01</f>
        <v>3.7595499999999997E-2</v>
      </c>
      <c r="CI66" s="61">
        <f>IF(CG66=CJ$11,Volatilities_Resets!$AA55,IF(CG66&gt;=CI$11,IF(CG66&lt;CJ$11,(((Volatilities_Resets!$AA55-Volatilities_Resets!$Y55)/50)*((Calculator!CG66-Calculator!CI$11)*10000)+Volatilities_Resets!$Y55)),IF(CG66&gt;=CI$10,IF(CG66&lt;CJ$10,(((Volatilities_Resets!$Y55-Volatilities_Resets!$W55)/50)*((Calculator!CG66-Calculator!CI$10)*10000)+Volatilities_Resets!$W55)),IF(CG66&gt;=CI$9,IF(CG66&lt;CJ$9,(((Volatilities_Resets!$W55-Volatilities_Resets!$U55)/50)*((Calculator!CG66-Calculator!CI$9)*10000)+Volatilities_Resets!$U55)),IF(CG66&gt;=CI$8,IF(CG66&lt;CJ$8,(((Volatilities_Resets!$U55-Volatilities_Resets!$S55)/50)*((Calculator!CG66-Calculator!CI$8)*10000)+Volatilities_Resets!$S55)),IF(CG66&gt;=CI$7,IF(CG66&lt;CJ$7,(((Volatilities_Resets!$S55-Volatilities_Resets!$Q55)/50)*((Calculator!CG66-Calculator!CI$7)*10000)+Volatilities_Resets!$Q55)),IF(CG66&gt;=CI$6,IF(CG66&lt;CJ$6,(((Volatilities_Resets!$Q55-Volatilities_Resets!$O55)/50)*((Calculator!CG66-Calculator!CI$6)*10000)+Volatilities_Resets!$O55)),IF(CG66&gt;=CI$5,IF(CG66&lt;CJ$5,(((Volatilities_Resets!$O55-Volatilities_Resets!$M55)/50)*((Calculator!CG66-Calculator!CI$5)*10000)+Volatilities_Resets!$M55)),IF(CG66&gt;=CI$4,IF(CG66&lt;CJ$4,(((Volatilities_Resets!$M55-Volatilities_Resets!$K55)/50)*((Calculator!CG66-Calculator!CI$4)*10000)+Volatilities_Resets!$K55)),IF(CG66&gt;=CI$3,IF(CG66&lt;CJ$3,(((Volatilities_Resets!$K55-Volatilities_Resets!$I55)/50)*((Calculator!CG66-Calculator!CI$3)*10000)+Volatilities_Resets!$I55)),IF(CG66&gt;=CI$2,IF(CG66&lt;CJ$2,(((Volatilities_Resets!$I55-Volatilities_Resets!$G55)/50)*((Calculator!CG66-Calculator!CI$2)*10000)+Volatilities_Resets!$G55)),"Well, something broke...")))))))))))/10000</f>
        <v>1.4463E-2</v>
      </c>
      <c r="CJ66" s="63">
        <f t="shared" ca="1" si="41"/>
        <v>7228.055024589311</v>
      </c>
      <c r="CK66" s="63">
        <f t="shared" ca="1" si="42"/>
        <v>2.9366982492929841E-4</v>
      </c>
      <c r="CL66" s="63">
        <f t="shared" ca="1" si="48"/>
        <v>210139.93037257469</v>
      </c>
      <c r="CO66" s="63">
        <f t="shared" ca="1" si="43"/>
        <v>94.110858119468119</v>
      </c>
      <c r="CP66" s="63">
        <f ca="1">SUM($CO$15:CO66)</f>
        <v>3288.9067259971384</v>
      </c>
      <c r="CR66" s="52">
        <f ca="1">EXP(-AVERAGE(CH$15:CH66)*CE66)</f>
        <v>0.82778047826858936</v>
      </c>
      <c r="CT66"/>
      <c r="CU66"/>
      <c r="CV66"/>
      <c r="CW66"/>
      <c r="CX66"/>
      <c r="CY66"/>
      <c r="CZ66"/>
      <c r="DA66"/>
      <c r="DB66"/>
      <c r="DC66"/>
      <c r="DD66"/>
      <c r="DE66"/>
      <c r="DF66"/>
      <c r="DG66"/>
      <c r="DH66"/>
      <c r="DI66"/>
      <c r="DJ66"/>
      <c r="DK66"/>
      <c r="DL66"/>
    </row>
    <row r="67" spans="2:116" ht="15.75" customHeight="1" x14ac:dyDescent="0.2">
      <c r="B67" s="52">
        <v>5</v>
      </c>
      <c r="C67" s="52">
        <f t="shared" ca="1" si="49"/>
        <v>53</v>
      </c>
      <c r="D67" s="71">
        <f t="shared" ca="1" si="16"/>
        <v>46774</v>
      </c>
      <c r="E67" s="71">
        <f t="shared" ca="1" si="50"/>
        <v>46805</v>
      </c>
      <c r="F67" s="72">
        <f t="shared" ca="1" si="51"/>
        <v>31</v>
      </c>
      <c r="G67" s="73">
        <f ca="1">SUM($F$15:F67)/360</f>
        <v>4.4833333333333334</v>
      </c>
      <c r="H67" s="74">
        <f t="shared" si="2"/>
        <v>25000000</v>
      </c>
      <c r="I67" s="59">
        <f>IF('Cap Pricer'!$E$22=DataValidation!$C$2,'Cap Pricer'!$E$23,IF('Cap Pricer'!$E$22=DataValidation!$C$3,VLOOKUP($B67,'Cap Pricer'!$C$25:$E$31,3),""))</f>
        <v>0.02</v>
      </c>
      <c r="J67" s="57">
        <f>Volatilities_Resets!$E56*0.01</f>
        <v>3.7599399999999998E-2</v>
      </c>
      <c r="K67" s="61">
        <f>IF(I67=L$11,Volatilities_Resets!$AA56,IF(I67&gt;=K$11,IF(I67&lt;L$11,(((Volatilities_Resets!$AA56-Volatilities_Resets!$Y56)/50)*((Calculator!I67-Calculator!K$11)*10000)+Volatilities_Resets!$Y56)),IF(I67&gt;=K$10,IF(I67&lt;L$10,(((Volatilities_Resets!$Y56-Volatilities_Resets!$W56)/50)*((Calculator!I67-Calculator!K$10)*10000)+Volatilities_Resets!$W56)),IF(I67&gt;=K$9,IF(I67&lt;L$9,(((Volatilities_Resets!$W56-Volatilities_Resets!$U56)/50)*((Calculator!I67-Calculator!K$9)*10000)+Volatilities_Resets!$U56)),IF(I67&gt;=K$8,IF(I67&lt;L$8,(((Volatilities_Resets!$U56-Volatilities_Resets!$S56)/50)*((Calculator!I67-Calculator!K$8)*10000)+Volatilities_Resets!$S56)),IF(I67&gt;=K$7,IF(I67&lt;L$7,(((Volatilities_Resets!$S56-Volatilities_Resets!$Q56)/50)*((Calculator!I67-Calculator!K$7)*10000)+Volatilities_Resets!$Q56)),IF(I67&gt;=K$6,IF(I67&lt;L$6,(((Volatilities_Resets!$Q56-Volatilities_Resets!$O56)/50)*((Calculator!I67-Calculator!K$6)*10000)+Volatilities_Resets!$O56)),IF(I67&gt;=K$5,IF(I67&lt;L$5,(((Volatilities_Resets!$O56-Volatilities_Resets!$M56)/50)*((Calculator!I67-Calculator!K$5)*10000)+Volatilities_Resets!$M56)),IF(I67&gt;=K$4,IF(I67&lt;L$4,(((Volatilities_Resets!$M56-Volatilities_Resets!$K56)/50)*((Calculator!I67-Calculator!K$4)*10000)+Volatilities_Resets!$K56)),IF(I67&gt;=K$3,IF(I67&lt;L$3,(((Volatilities_Resets!$K56-Volatilities_Resets!$I56)/50)*((Calculator!I67-Calculator!K$3)*10000)+Volatilities_Resets!$I56)),IF(I67&gt;=K$2,IF(I67&lt;L$2,(((Volatilities_Resets!$I56-Volatilities_Resets!$G56)/50)*((Calculator!I67-Calculator!K$2)*10000)+Volatilities_Resets!$G56)),"Well, something broke...")))))))))))/10000</f>
        <v>1.2422000000000001E-2</v>
      </c>
      <c r="L67" s="47">
        <f t="shared" ca="1" si="17"/>
        <v>38292.260905298201</v>
      </c>
      <c r="M67" s="63">
        <f t="shared" ca="1" si="18"/>
        <v>1.5364969434357272E-3</v>
      </c>
      <c r="N67" s="63">
        <f t="shared" ca="1" si="44"/>
        <v>2610888.4158660709</v>
      </c>
      <c r="Q67" s="63">
        <f t="shared" ca="1" si="19"/>
        <v>99.14597949870975</v>
      </c>
      <c r="R67" s="63">
        <f ca="1">SUM($Q$15:Q67)</f>
        <v>3399.2908120557067</v>
      </c>
      <c r="T67" s="52">
        <f ca="1">EXP(-AVERAGE(J$15:J67)*G67)</f>
        <v>0.82509793396579556</v>
      </c>
      <c r="U67" s="57"/>
      <c r="V67" s="52">
        <f t="shared" ca="1" si="20"/>
        <v>53</v>
      </c>
      <c r="W67" s="71">
        <f t="shared" ca="1" si="21"/>
        <v>46774</v>
      </c>
      <c r="X67" s="71">
        <f t="shared" ca="1" si="3"/>
        <v>46805</v>
      </c>
      <c r="Y67" s="72">
        <f t="shared" ca="1" si="4"/>
        <v>31</v>
      </c>
      <c r="Z67" s="73">
        <f ca="1">SUM(Y$15:Y67)/360</f>
        <v>4.4833333333333334</v>
      </c>
      <c r="AA67" s="74">
        <f t="shared" si="22"/>
        <v>25000000</v>
      </c>
      <c r="AB67" s="59">
        <f t="shared" si="23"/>
        <v>0.03</v>
      </c>
      <c r="AC67" s="57">
        <f>Volatilities_Resets!$E56*0.01</f>
        <v>3.7599399999999998E-2</v>
      </c>
      <c r="AD67" s="61">
        <f>IF(AB67=AE$11,Volatilities_Resets!$AA56,IF(AB67&gt;=AD$11,IF(AB67&lt;AE$11,(((Volatilities_Resets!$AA56-Volatilities_Resets!$Y56)/50)*((Calculator!AB67-Calculator!AD$11)*10000)+Volatilities_Resets!$Y56)),IF(AB67&gt;=AD$10,IF(AB67&lt;AE$10,(((Volatilities_Resets!$Y56-Volatilities_Resets!$W56)/50)*((Calculator!AB67-Calculator!AD$10)*10000)+Volatilities_Resets!$W56)),IF(AB67&gt;=AD$9,IF(AB67&lt;AE$9,(((Volatilities_Resets!$W56-Volatilities_Resets!$U56)/50)*((Calculator!AB67-Calculator!AD$9)*10000)+Volatilities_Resets!$U56)),IF(AB67&gt;=AD$8,IF(AB67&lt;AE$8,(((Volatilities_Resets!$U56-Volatilities_Resets!$S56)/50)*((Calculator!AB67-Calculator!AD$8)*10000)+Volatilities_Resets!$S56)),IF(AB67&gt;=AD$7,IF(AB67&lt;AE$7,(((Volatilities_Resets!$S56-Volatilities_Resets!$Q56)/50)*((Calculator!AB67-Calculator!AD$7)*10000)+Volatilities_Resets!$Q56)),IF(AB67&gt;=AD$6,IF(AB67&lt;AE$6,(((Volatilities_Resets!$Q56-Volatilities_Resets!$O56)/50)*((Calculator!AB67-Calculator!AD$6)*10000)+Volatilities_Resets!$O56)),IF(AB67&gt;=AD$5,IF(AB67&lt;AE$5,(((Volatilities_Resets!$O56-Volatilities_Resets!$M56)/50)*((Calculator!AB67-Calculator!AD$5)*10000)+Volatilities_Resets!$M56)),IF(AB67&gt;=AD$4,IF(AB67&lt;AE$4,(((Volatilities_Resets!$M56-Volatilities_Resets!$K56)/50)*((Calculator!AB67-Calculator!AD$4)*10000)+Volatilities_Resets!$K56)),IF(AB67&gt;=AD$3,IF(AB67&lt;AE$3,(((Volatilities_Resets!$K56-Volatilities_Resets!$I56)/50)*((Calculator!AB67-Calculator!AD$3)*10000)+Volatilities_Resets!$I56)),IF(AB67&gt;=AD$2,IF(AB67&lt;AE$2,(((Volatilities_Resets!$I56-Volatilities_Resets!$G56)/50)*((Calculator!AB67-Calculator!AD$2)*10000)+Volatilities_Resets!$G56)),"Well, something broke...")))))))))))/10000</f>
        <v>1.24E-2</v>
      </c>
      <c r="AE67" s="63">
        <f t="shared" ca="1" si="24"/>
        <v>26128.473200752051</v>
      </c>
      <c r="AF67" s="63">
        <f t="shared" ca="1" si="25"/>
        <v>1.0508963665994033E-3</v>
      </c>
      <c r="AG67" s="63">
        <f t="shared" ca="1" si="45"/>
        <v>1791099.4905249807</v>
      </c>
      <c r="AJ67" s="63">
        <f t="shared" ca="1" si="26"/>
        <v>118.76126671205145</v>
      </c>
      <c r="AK67" s="63">
        <f ca="1">SUM($AJ$15:AJ67)</f>
        <v>4188.0595769959673</v>
      </c>
      <c r="AM67" s="52">
        <f ca="1">EXP(-AVERAGE(AC$15:AC67)*Z67)</f>
        <v>0.82509793396579556</v>
      </c>
      <c r="AO67" s="52">
        <f t="shared" ca="1" si="27"/>
        <v>53</v>
      </c>
      <c r="AP67" s="71">
        <f t="shared" ca="1" si="28"/>
        <v>46774</v>
      </c>
      <c r="AQ67" s="71">
        <f t="shared" ca="1" si="5"/>
        <v>46805</v>
      </c>
      <c r="AR67" s="72">
        <f t="shared" ca="1" si="6"/>
        <v>31</v>
      </c>
      <c r="AS67" s="73">
        <f ca="1">SUM(AR$15:AR67)/360</f>
        <v>4.4833333333333334</v>
      </c>
      <c r="AT67" s="74">
        <f t="shared" si="7"/>
        <v>25000000</v>
      </c>
      <c r="AU67" s="59">
        <f t="shared" si="29"/>
        <v>0.04</v>
      </c>
      <c r="AV67" s="57">
        <f>Volatilities_Resets!$E56*0.01</f>
        <v>3.7599399999999998E-2</v>
      </c>
      <c r="AW67" s="61">
        <f>IF(AU67=AX$11,Volatilities_Resets!$AA56,IF(AU67&gt;=AW$11,IF(AU67&lt;AX$11,(((Volatilities_Resets!$AA56-Volatilities_Resets!$Y56)/50)*((Calculator!AU67-Calculator!AW$11)*10000)+Volatilities_Resets!$Y56)),IF(AU67&gt;=AW$10,IF(AU67&lt;AX$10,(((Volatilities_Resets!$Y56-Volatilities_Resets!$W56)/50)*((Calculator!AU67-Calculator!AW$10)*10000)+Volatilities_Resets!$W56)),IF(AU67&gt;=AW$9,IF(AU67&lt;AX$9,(((Volatilities_Resets!$W56-Volatilities_Resets!$U56)/50)*((Calculator!AU67-Calculator!AW$9)*10000)+Volatilities_Resets!$U56)),IF(AU67&gt;=AW$8,IF(AU67&lt;AX$8,(((Volatilities_Resets!$U56-Volatilities_Resets!$S56)/50)*((Calculator!AU67-Calculator!AW$8)*10000)+Volatilities_Resets!$S56)),IF(AU67&gt;=AW$7,IF(AU67&lt;AX$7,(((Volatilities_Resets!$S56-Volatilities_Resets!$Q56)/50)*((Calculator!AU67-Calculator!AW$7)*10000)+Volatilities_Resets!$Q56)),IF(AU67&gt;=AW$6,IF(AU67&lt;AX$6,(((Volatilities_Resets!$Q56-Volatilities_Resets!$O56)/50)*((Calculator!AU67-Calculator!AW$6)*10000)+Volatilities_Resets!$O56)),IF(AU67&gt;=AW$5,IF(AU67&lt;AX$5,(((Volatilities_Resets!$O56-Volatilities_Resets!$M56)/50)*((Calculator!AU67-Calculator!AW$5)*10000)+Volatilities_Resets!$M56)),IF(AU67&gt;=AW$4,IF(AU67&lt;AX$4,(((Volatilities_Resets!$M56-Volatilities_Resets!$K56)/50)*((Calculator!AU67-Calculator!AW$4)*10000)+Volatilities_Resets!$K56)),IF(AU67&gt;=AW$3,IF(AU67&lt;AX$3,(((Volatilities_Resets!$K56-Volatilities_Resets!$I56)/50)*((Calculator!AU67-Calculator!AW$3)*10000)+Volatilities_Resets!$I56)),IF(AU67&gt;=AW$2,IF(AU67&lt;AX$2,(((Volatilities_Resets!$I56-Volatilities_Resets!$G56)/50)*((Calculator!AU67-Calculator!AW$2)*10000)+Volatilities_Resets!$G56)),"Well, something broke...")))))))))))/10000</f>
        <v>1.2745000000000001E-2</v>
      </c>
      <c r="AX67" s="63">
        <f t="shared" ca="1" si="30"/>
        <v>17066.537582425175</v>
      </c>
      <c r="AY67" s="63">
        <f t="shared" ca="1" si="31"/>
        <v>6.8863970129499485E-4</v>
      </c>
      <c r="AZ67" s="63">
        <f t="shared" ca="1" si="46"/>
        <v>1065940.942166555</v>
      </c>
      <c r="BC67" s="63">
        <f t="shared" ca="1" si="8"/>
        <v>123.314970424455</v>
      </c>
      <c r="BD67" s="63">
        <f ca="1">SUM($BC$15:BC67)</f>
        <v>4595.3965676354501</v>
      </c>
      <c r="BF67" s="52">
        <f ca="1">EXP(-AVERAGE(AV$15:AV67)*AS67)</f>
        <v>0.82509793396579556</v>
      </c>
      <c r="BH67" s="52">
        <f t="shared" ca="1" si="32"/>
        <v>53</v>
      </c>
      <c r="BI67" s="71">
        <f t="shared" ca="1" si="33"/>
        <v>46774</v>
      </c>
      <c r="BJ67" s="71">
        <f t="shared" ca="1" si="9"/>
        <v>46805</v>
      </c>
      <c r="BK67" s="72">
        <f t="shared" ca="1" si="10"/>
        <v>31</v>
      </c>
      <c r="BL67" s="73">
        <f ca="1">SUM(BK$15:BK67)/360</f>
        <v>4.4833333333333334</v>
      </c>
      <c r="BM67" s="74">
        <f t="shared" si="11"/>
        <v>25000000</v>
      </c>
      <c r="BN67" s="59">
        <f t="shared" si="34"/>
        <v>0.05</v>
      </c>
      <c r="BO67" s="57">
        <f>Volatilities_Resets!$E56*0.01</f>
        <v>3.7599399999999998E-2</v>
      </c>
      <c r="BP67" s="61">
        <f>IF(BN67=BQ$11,Volatilities_Resets!$AA56,IF(BN67&gt;=BP$11,IF(BN67&lt;BQ$11,(((Volatilities_Resets!$AA56-Volatilities_Resets!$Y56)/50)*((Calculator!BN67-Calculator!BP$11)*10000)+Volatilities_Resets!$Y56)),IF(BN67&gt;=BP$10,IF(BN67&lt;BQ$10,(((Volatilities_Resets!$Y56-Volatilities_Resets!$W56)/50)*((Calculator!BN67-Calculator!BP$10)*10000)+Volatilities_Resets!$W56)),IF(BN67&gt;=BP$9,IF(BN67&lt;BQ$9,(((Volatilities_Resets!$W56-Volatilities_Resets!$U56)/50)*((Calculator!BN67-Calculator!BP$9)*10000)+Volatilities_Resets!$U56)),IF(BN67&gt;=BP$8,IF(BN67&lt;BQ$8,(((Volatilities_Resets!$U56-Volatilities_Resets!$S56)/50)*((Calculator!BN67-Calculator!BP$8)*10000)+Volatilities_Resets!$S56)),IF(BN67&gt;=BP$7,IF(BN67&lt;BQ$7,(((Volatilities_Resets!$S56-Volatilities_Resets!$Q56)/50)*((Calculator!BN67-Calculator!BP$7)*10000)+Volatilities_Resets!$Q56)),IF(BN67&gt;=BP$6,IF(BN67&lt;BQ$6,(((Volatilities_Resets!$Q56-Volatilities_Resets!$O56)/50)*((Calculator!BN67-Calculator!BP$6)*10000)+Volatilities_Resets!$O56)),IF(BN67&gt;=BP$5,IF(BN67&lt;BQ$5,(((Volatilities_Resets!$O56-Volatilities_Resets!$M56)/50)*((Calculator!BN67-Calculator!BP$5)*10000)+Volatilities_Resets!$M56)),IF(BN67&gt;=BP$4,IF(BN67&lt;BQ$4,(((Volatilities_Resets!$M56-Volatilities_Resets!$K56)/50)*((Calculator!BN67-Calculator!BP$4)*10000)+Volatilities_Resets!$K56)),IF(BN67&gt;=BP$3,IF(BN67&lt;BQ$3,(((Volatilities_Resets!$K56-Volatilities_Resets!$I56)/50)*((Calculator!BN67-Calculator!BP$3)*10000)+Volatilities_Resets!$I56)),IF(BN67&gt;=BP$2,IF(BN67&lt;BQ$2,(((Volatilities_Resets!$I56-Volatilities_Resets!$G56)/50)*((Calculator!BN67-Calculator!BP$2)*10000)+Volatilities_Resets!$G56)),"Well, something broke...")))))))))))/10000</f>
        <v>1.3462999999999999E-2</v>
      </c>
      <c r="BQ67" s="63">
        <f t="shared" ca="1" si="35"/>
        <v>11068.685439744399</v>
      </c>
      <c r="BR67" s="63">
        <f t="shared" ca="1" si="36"/>
        <v>4.4821111317764912E-4</v>
      </c>
      <c r="BS67" s="63">
        <f t="shared" ca="1" si="47"/>
        <v>506277.06238850672</v>
      </c>
      <c r="BV67" s="63">
        <f t="shared" ca="1" si="37"/>
        <v>112.70209853430528</v>
      </c>
      <c r="BW67" s="63">
        <f ca="1">SUM($BV$15:BV67)</f>
        <v>4516.4866198317277</v>
      </c>
      <c r="BY67" s="52">
        <f ca="1">EXP(-AVERAGE(BO$15:BO67)*BL67)</f>
        <v>0.82509793396579556</v>
      </c>
      <c r="CA67" s="52">
        <f t="shared" ca="1" si="38"/>
        <v>53</v>
      </c>
      <c r="CB67" s="71">
        <f t="shared" ca="1" si="39"/>
        <v>46774</v>
      </c>
      <c r="CC67" s="71">
        <f t="shared" ca="1" si="12"/>
        <v>46805</v>
      </c>
      <c r="CD67" s="72">
        <f t="shared" ca="1" si="13"/>
        <v>31</v>
      </c>
      <c r="CE67" s="73">
        <f ca="1">SUM(CD$15:CD67)/360</f>
        <v>4.4833333333333334</v>
      </c>
      <c r="CF67" s="74">
        <f t="shared" si="14"/>
        <v>25000000</v>
      </c>
      <c r="CG67" s="59">
        <f t="shared" si="40"/>
        <v>0.06</v>
      </c>
      <c r="CH67" s="57">
        <f>Volatilities_Resets!$E56*0.01</f>
        <v>3.7599399999999998E-2</v>
      </c>
      <c r="CI67" s="61">
        <f>IF(CG67=CJ$11,Volatilities_Resets!$AA56,IF(CG67&gt;=CI$11,IF(CG67&lt;CJ$11,(((Volatilities_Resets!$AA56-Volatilities_Resets!$Y56)/50)*((Calculator!CG67-Calculator!CI$11)*10000)+Volatilities_Resets!$Y56)),IF(CG67&gt;=CI$10,IF(CG67&lt;CJ$10,(((Volatilities_Resets!$Y56-Volatilities_Resets!$W56)/50)*((Calculator!CG67-Calculator!CI$10)*10000)+Volatilities_Resets!$W56)),IF(CG67&gt;=CI$9,IF(CG67&lt;CJ$9,(((Volatilities_Resets!$W56-Volatilities_Resets!$U56)/50)*((Calculator!CG67-Calculator!CI$9)*10000)+Volatilities_Resets!$U56)),IF(CG67&gt;=CI$8,IF(CG67&lt;CJ$8,(((Volatilities_Resets!$U56-Volatilities_Resets!$S56)/50)*((Calculator!CG67-Calculator!CI$8)*10000)+Volatilities_Resets!$S56)),IF(CG67&gt;=CI$7,IF(CG67&lt;CJ$7,(((Volatilities_Resets!$S56-Volatilities_Resets!$Q56)/50)*((Calculator!CG67-Calculator!CI$7)*10000)+Volatilities_Resets!$Q56)),IF(CG67&gt;=CI$6,IF(CG67&lt;CJ$6,(((Volatilities_Resets!$Q56-Volatilities_Resets!$O56)/50)*((Calculator!CG67-Calculator!CI$6)*10000)+Volatilities_Resets!$O56)),IF(CG67&gt;=CI$5,IF(CG67&lt;CJ$5,(((Volatilities_Resets!$O56-Volatilities_Resets!$M56)/50)*((Calculator!CG67-Calculator!CI$5)*10000)+Volatilities_Resets!$M56)),IF(CG67&gt;=CI$4,IF(CG67&lt;CJ$4,(((Volatilities_Resets!$M56-Volatilities_Resets!$K56)/50)*((Calculator!CG67-Calculator!CI$4)*10000)+Volatilities_Resets!$K56)),IF(CG67&gt;=CI$3,IF(CG67&lt;CJ$3,(((Volatilities_Resets!$K56-Volatilities_Resets!$I56)/50)*((Calculator!CG67-Calculator!CI$3)*10000)+Volatilities_Resets!$I56)),IF(CG67&gt;=CI$2,IF(CG67&lt;CJ$2,(((Volatilities_Resets!$I56-Volatilities_Resets!$G56)/50)*((Calculator!CG67-Calculator!CI$2)*10000)+Volatilities_Resets!$G56)),"Well, something broke...")))))))))))/10000</f>
        <v>1.4462000000000001E-2</v>
      </c>
      <c r="CJ67" s="63">
        <f t="shared" ca="1" si="41"/>
        <v>7364.9164516351811</v>
      </c>
      <c r="CK67" s="63">
        <f t="shared" ca="1" si="42"/>
        <v>2.9919785576157967E-4</v>
      </c>
      <c r="CL67" s="63">
        <f t="shared" ca="1" si="48"/>
        <v>217504.84682420988</v>
      </c>
      <c r="CO67" s="63">
        <f t="shared" ca="1" si="43"/>
        <v>94.910967822001467</v>
      </c>
      <c r="CP67" s="63">
        <f ca="1">SUM($CO$15:CO67)</f>
        <v>3383.81769381914</v>
      </c>
      <c r="CR67" s="52">
        <f ca="1">EXP(-AVERAGE(CH$15:CH67)*CE67)</f>
        <v>0.82509793396579556</v>
      </c>
      <c r="CT67"/>
      <c r="CU67"/>
      <c r="CV67"/>
      <c r="CW67"/>
      <c r="CX67"/>
      <c r="CY67"/>
      <c r="CZ67"/>
      <c r="DA67"/>
      <c r="DB67"/>
      <c r="DC67"/>
      <c r="DD67"/>
      <c r="DE67"/>
      <c r="DF67"/>
      <c r="DG67"/>
      <c r="DH67"/>
      <c r="DI67"/>
      <c r="DJ67"/>
      <c r="DK67"/>
      <c r="DL67"/>
    </row>
    <row r="68" spans="2:116" ht="15.75" customHeight="1" x14ac:dyDescent="0.2">
      <c r="B68" s="52">
        <v>5</v>
      </c>
      <c r="C68" s="52">
        <f t="shared" ca="1" si="49"/>
        <v>54</v>
      </c>
      <c r="D68" s="71">
        <f t="shared" ca="1" si="16"/>
        <v>46805</v>
      </c>
      <c r="E68" s="71">
        <f t="shared" ca="1" si="50"/>
        <v>46834</v>
      </c>
      <c r="F68" s="72">
        <f t="shared" ca="1" si="51"/>
        <v>29</v>
      </c>
      <c r="G68" s="73">
        <f ca="1">SUM($F$15:F68)/360</f>
        <v>4.5638888888888891</v>
      </c>
      <c r="H68" s="74">
        <f t="shared" si="2"/>
        <v>25000000</v>
      </c>
      <c r="I68" s="59">
        <f>IF('Cap Pricer'!$E$22=DataValidation!$C$2,'Cap Pricer'!$E$23,IF('Cap Pricer'!$E$22=DataValidation!$C$3,VLOOKUP($B68,'Cap Pricer'!$C$25:$E$31,3),""))</f>
        <v>0.02</v>
      </c>
      <c r="J68" s="57">
        <f>Volatilities_Resets!$E57*0.01</f>
        <v>3.7591600000000003E-2</v>
      </c>
      <c r="K68" s="61">
        <f>IF(I68=L$11,Volatilities_Resets!$AA57,IF(I68&gt;=K$11,IF(I68&lt;L$11,(((Volatilities_Resets!$AA57-Volatilities_Resets!$Y57)/50)*((Calculator!I68-Calculator!K$11)*10000)+Volatilities_Resets!$Y57)),IF(I68&gt;=K$10,IF(I68&lt;L$10,(((Volatilities_Resets!$Y57-Volatilities_Resets!$W57)/50)*((Calculator!I68-Calculator!K$10)*10000)+Volatilities_Resets!$W57)),IF(I68&gt;=K$9,IF(I68&lt;L$9,(((Volatilities_Resets!$W57-Volatilities_Resets!$U57)/50)*((Calculator!I68-Calculator!K$9)*10000)+Volatilities_Resets!$U57)),IF(I68&gt;=K$8,IF(I68&lt;L$8,(((Volatilities_Resets!$U57-Volatilities_Resets!$S57)/50)*((Calculator!I68-Calculator!K$8)*10000)+Volatilities_Resets!$S57)),IF(I68&gt;=K$7,IF(I68&lt;L$7,(((Volatilities_Resets!$S57-Volatilities_Resets!$Q57)/50)*((Calculator!I68-Calculator!K$7)*10000)+Volatilities_Resets!$Q57)),IF(I68&gt;=K$6,IF(I68&lt;L$6,(((Volatilities_Resets!$Q57-Volatilities_Resets!$O57)/50)*((Calculator!I68-Calculator!K$6)*10000)+Volatilities_Resets!$O57)),IF(I68&gt;=K$5,IF(I68&lt;L$5,(((Volatilities_Resets!$O57-Volatilities_Resets!$M57)/50)*((Calculator!I68-Calculator!K$5)*10000)+Volatilities_Resets!$M57)),IF(I68&gt;=K$4,IF(I68&lt;L$4,(((Volatilities_Resets!$M57-Volatilities_Resets!$K57)/50)*((Calculator!I68-Calculator!K$4)*10000)+Volatilities_Resets!$K57)),IF(I68&gt;=K$3,IF(I68&lt;L$3,(((Volatilities_Resets!$K57-Volatilities_Resets!$I57)/50)*((Calculator!I68-Calculator!K$3)*10000)+Volatilities_Resets!$I57)),IF(I68&gt;=K$2,IF(I68&lt;L$2,(((Volatilities_Resets!$I57-Volatilities_Resets!$G57)/50)*((Calculator!I68-Calculator!K$2)*10000)+Volatilities_Resets!$G57)),"Well, something broke...")))))))))))/10000</f>
        <v>1.2422000000000001E-2</v>
      </c>
      <c r="L68" s="47">
        <f t="shared" ca="1" si="17"/>
        <v>35829.12304626363</v>
      </c>
      <c r="M68" s="63">
        <f t="shared" ca="1" si="18"/>
        <v>1.437706566691244E-3</v>
      </c>
      <c r="N68" s="63">
        <f t="shared" ca="1" si="44"/>
        <v>2646717.5389123345</v>
      </c>
      <c r="Q68" s="63">
        <f t="shared" ca="1" si="19"/>
        <v>93.401239940160096</v>
      </c>
      <c r="R68" s="63">
        <f ca="1">SUM($Q$15:Q68)</f>
        <v>3492.6920519958667</v>
      </c>
      <c r="T68" s="52">
        <f ca="1">EXP(-AVERAGE(J$15:J68)*G68)</f>
        <v>0.82262037844233415</v>
      </c>
      <c r="U68" s="57"/>
      <c r="V68" s="52">
        <f t="shared" ca="1" si="20"/>
        <v>54</v>
      </c>
      <c r="W68" s="71">
        <f t="shared" ca="1" si="21"/>
        <v>46805</v>
      </c>
      <c r="X68" s="71">
        <f t="shared" ca="1" si="3"/>
        <v>46834</v>
      </c>
      <c r="Y68" s="72">
        <f t="shared" ca="1" si="4"/>
        <v>29</v>
      </c>
      <c r="Z68" s="73">
        <f ca="1">SUM(Y$15:Y68)/360</f>
        <v>4.5638888888888891</v>
      </c>
      <c r="AA68" s="74">
        <f t="shared" si="22"/>
        <v>25000000</v>
      </c>
      <c r="AB68" s="59">
        <f t="shared" si="23"/>
        <v>0.03</v>
      </c>
      <c r="AC68" s="57">
        <f>Volatilities_Resets!$E57*0.01</f>
        <v>3.7591600000000003E-2</v>
      </c>
      <c r="AD68" s="61">
        <f>IF(AB68=AE$11,Volatilities_Resets!$AA57,IF(AB68&gt;=AD$11,IF(AB68&lt;AE$11,(((Volatilities_Resets!$AA57-Volatilities_Resets!$Y57)/50)*((Calculator!AB68-Calculator!AD$11)*10000)+Volatilities_Resets!$Y57)),IF(AB68&gt;=AD$10,IF(AB68&lt;AE$10,(((Volatilities_Resets!$Y57-Volatilities_Resets!$W57)/50)*((Calculator!AB68-Calculator!AD$10)*10000)+Volatilities_Resets!$W57)),IF(AB68&gt;=AD$9,IF(AB68&lt;AE$9,(((Volatilities_Resets!$W57-Volatilities_Resets!$U57)/50)*((Calculator!AB68-Calculator!AD$9)*10000)+Volatilities_Resets!$U57)),IF(AB68&gt;=AD$8,IF(AB68&lt;AE$8,(((Volatilities_Resets!$U57-Volatilities_Resets!$S57)/50)*((Calculator!AB68-Calculator!AD$8)*10000)+Volatilities_Resets!$S57)),IF(AB68&gt;=AD$7,IF(AB68&lt;AE$7,(((Volatilities_Resets!$S57-Volatilities_Resets!$Q57)/50)*((Calculator!AB68-Calculator!AD$7)*10000)+Volatilities_Resets!$Q57)),IF(AB68&gt;=AD$6,IF(AB68&lt;AE$6,(((Volatilities_Resets!$Q57-Volatilities_Resets!$O57)/50)*((Calculator!AB68-Calculator!AD$6)*10000)+Volatilities_Resets!$O57)),IF(AB68&gt;=AD$5,IF(AB68&lt;AE$5,(((Volatilities_Resets!$O57-Volatilities_Resets!$M57)/50)*((Calculator!AB68-Calculator!AD$5)*10000)+Volatilities_Resets!$M57)),IF(AB68&gt;=AD$4,IF(AB68&lt;AE$4,(((Volatilities_Resets!$M57-Volatilities_Resets!$K57)/50)*((Calculator!AB68-Calculator!AD$4)*10000)+Volatilities_Resets!$K57)),IF(AB68&gt;=AD$3,IF(AB68&lt;AE$3,(((Volatilities_Resets!$K57-Volatilities_Resets!$I57)/50)*((Calculator!AB68-Calculator!AD$3)*10000)+Volatilities_Resets!$I57)),IF(AB68&gt;=AD$2,IF(AB68&lt;AE$2,(((Volatilities_Resets!$I57-Volatilities_Resets!$G57)/50)*((Calculator!AB68-Calculator!AD$2)*10000)+Volatilities_Resets!$G57)),"Well, something broke...")))))))))))/10000</f>
        <v>1.24E-2</v>
      </c>
      <c r="AE68" s="63">
        <f t="shared" ca="1" si="24"/>
        <v>24510.340213788</v>
      </c>
      <c r="AF68" s="63">
        <f t="shared" ca="1" si="25"/>
        <v>9.8583588295920749E-4</v>
      </c>
      <c r="AG68" s="63">
        <f t="shared" ca="1" si="45"/>
        <v>1815609.8307387687</v>
      </c>
      <c r="AJ68" s="63">
        <f t="shared" ca="1" si="26"/>
        <v>111.51183563175145</v>
      </c>
      <c r="AK68" s="63">
        <f ca="1">SUM($AJ$15:AJ68)</f>
        <v>4299.5714126277189</v>
      </c>
      <c r="AM68" s="52">
        <f ca="1">EXP(-AVERAGE(AC$15:AC68)*Z68)</f>
        <v>0.82262037844233415</v>
      </c>
      <c r="AO68" s="52">
        <f t="shared" ca="1" si="27"/>
        <v>54</v>
      </c>
      <c r="AP68" s="71">
        <f t="shared" ca="1" si="28"/>
        <v>46805</v>
      </c>
      <c r="AQ68" s="71">
        <f t="shared" ca="1" si="5"/>
        <v>46834</v>
      </c>
      <c r="AR68" s="72">
        <f t="shared" ca="1" si="6"/>
        <v>29</v>
      </c>
      <c r="AS68" s="73">
        <f ca="1">SUM(AR$15:AR68)/360</f>
        <v>4.5638888888888891</v>
      </c>
      <c r="AT68" s="74">
        <f t="shared" si="7"/>
        <v>25000000</v>
      </c>
      <c r="AU68" s="59">
        <f t="shared" si="29"/>
        <v>0.04</v>
      </c>
      <c r="AV68" s="57">
        <f>Volatilities_Resets!$E57*0.01</f>
        <v>3.7591600000000003E-2</v>
      </c>
      <c r="AW68" s="61">
        <f>IF(AU68=AX$11,Volatilities_Resets!$AA57,IF(AU68&gt;=AW$11,IF(AU68&lt;AX$11,(((Volatilities_Resets!$AA57-Volatilities_Resets!$Y57)/50)*((Calculator!AU68-Calculator!AW$11)*10000)+Volatilities_Resets!$Y57)),IF(AU68&gt;=AW$10,IF(AU68&lt;AX$10,(((Volatilities_Resets!$Y57-Volatilities_Resets!$W57)/50)*((Calculator!AU68-Calculator!AW$10)*10000)+Volatilities_Resets!$W57)),IF(AU68&gt;=AW$9,IF(AU68&lt;AX$9,(((Volatilities_Resets!$W57-Volatilities_Resets!$U57)/50)*((Calculator!AU68-Calculator!AW$9)*10000)+Volatilities_Resets!$U57)),IF(AU68&gt;=AW$8,IF(AU68&lt;AX$8,(((Volatilities_Resets!$U57-Volatilities_Resets!$S57)/50)*((Calculator!AU68-Calculator!AW$8)*10000)+Volatilities_Resets!$S57)),IF(AU68&gt;=AW$7,IF(AU68&lt;AX$7,(((Volatilities_Resets!$S57-Volatilities_Resets!$Q57)/50)*((Calculator!AU68-Calculator!AW$7)*10000)+Volatilities_Resets!$Q57)),IF(AU68&gt;=AW$6,IF(AU68&lt;AX$6,(((Volatilities_Resets!$Q57-Volatilities_Resets!$O57)/50)*((Calculator!AU68-Calculator!AW$6)*10000)+Volatilities_Resets!$O57)),IF(AU68&gt;=AW$5,IF(AU68&lt;AX$5,(((Volatilities_Resets!$O57-Volatilities_Resets!$M57)/50)*((Calculator!AU68-Calculator!AW$5)*10000)+Volatilities_Resets!$M57)),IF(AU68&gt;=AW$4,IF(AU68&lt;AX$4,(((Volatilities_Resets!$M57-Volatilities_Resets!$K57)/50)*((Calculator!AU68-Calculator!AW$4)*10000)+Volatilities_Resets!$K57)),IF(AU68&gt;=AW$3,IF(AU68&lt;AX$3,(((Volatilities_Resets!$K57-Volatilities_Resets!$I57)/50)*((Calculator!AU68-Calculator!AW$3)*10000)+Volatilities_Resets!$I57)),IF(AU68&gt;=AW$2,IF(AU68&lt;AX$2,(((Volatilities_Resets!$I57-Volatilities_Resets!$G57)/50)*((Calculator!AU68-Calculator!AW$2)*10000)+Volatilities_Resets!$G57)),"Well, something broke...")))))))))))/10000</f>
        <v>1.2745000000000001E-2</v>
      </c>
      <c r="AX68" s="63">
        <f t="shared" ca="1" si="30"/>
        <v>16070.418657128212</v>
      </c>
      <c r="AY68" s="63">
        <f t="shared" ca="1" si="31"/>
        <v>6.4844257845178327E-4</v>
      </c>
      <c r="AZ68" s="63">
        <f t="shared" ca="1" si="46"/>
        <v>1082011.3608236832</v>
      </c>
      <c r="BC68" s="63">
        <f t="shared" ca="1" si="8"/>
        <v>115.69810464966571</v>
      </c>
      <c r="BD68" s="63">
        <f ca="1">SUM($BC$15:BC68)</f>
        <v>4711.0946722851158</v>
      </c>
      <c r="BF68" s="52">
        <f ca="1">EXP(-AVERAGE(AV$15:AV68)*AS68)</f>
        <v>0.82262037844233415</v>
      </c>
      <c r="BH68" s="52">
        <f t="shared" ca="1" si="32"/>
        <v>54</v>
      </c>
      <c r="BI68" s="71">
        <f t="shared" ca="1" si="33"/>
        <v>46805</v>
      </c>
      <c r="BJ68" s="71">
        <f t="shared" ca="1" si="9"/>
        <v>46834</v>
      </c>
      <c r="BK68" s="72">
        <f t="shared" ca="1" si="10"/>
        <v>29</v>
      </c>
      <c r="BL68" s="73">
        <f ca="1">SUM(BK$15:BK68)/360</f>
        <v>4.5638888888888891</v>
      </c>
      <c r="BM68" s="74">
        <f t="shared" si="11"/>
        <v>25000000</v>
      </c>
      <c r="BN68" s="59">
        <f t="shared" si="34"/>
        <v>0.05</v>
      </c>
      <c r="BO68" s="57">
        <f>Volatilities_Resets!$E57*0.01</f>
        <v>3.7591600000000003E-2</v>
      </c>
      <c r="BP68" s="61">
        <f>IF(BN68=BQ$11,Volatilities_Resets!$AA57,IF(BN68&gt;=BP$11,IF(BN68&lt;BQ$11,(((Volatilities_Resets!$AA57-Volatilities_Resets!$Y57)/50)*((Calculator!BN68-Calculator!BP$11)*10000)+Volatilities_Resets!$Y57)),IF(BN68&gt;=BP$10,IF(BN68&lt;BQ$10,(((Volatilities_Resets!$Y57-Volatilities_Resets!$W57)/50)*((Calculator!BN68-Calculator!BP$10)*10000)+Volatilities_Resets!$W57)),IF(BN68&gt;=BP$9,IF(BN68&lt;BQ$9,(((Volatilities_Resets!$W57-Volatilities_Resets!$U57)/50)*((Calculator!BN68-Calculator!BP$9)*10000)+Volatilities_Resets!$U57)),IF(BN68&gt;=BP$8,IF(BN68&lt;BQ$8,(((Volatilities_Resets!$U57-Volatilities_Resets!$S57)/50)*((Calculator!BN68-Calculator!BP$8)*10000)+Volatilities_Resets!$S57)),IF(BN68&gt;=BP$7,IF(BN68&lt;BQ$7,(((Volatilities_Resets!$S57-Volatilities_Resets!$Q57)/50)*((Calculator!BN68-Calculator!BP$7)*10000)+Volatilities_Resets!$Q57)),IF(BN68&gt;=BP$6,IF(BN68&lt;BQ$6,(((Volatilities_Resets!$Q57-Volatilities_Resets!$O57)/50)*((Calculator!BN68-Calculator!BP$6)*10000)+Volatilities_Resets!$O57)),IF(BN68&gt;=BP$5,IF(BN68&lt;BQ$5,(((Volatilities_Resets!$O57-Volatilities_Resets!$M57)/50)*((Calculator!BN68-Calculator!BP$5)*10000)+Volatilities_Resets!$M57)),IF(BN68&gt;=BP$4,IF(BN68&lt;BQ$4,(((Volatilities_Resets!$M57-Volatilities_Resets!$K57)/50)*((Calculator!BN68-Calculator!BP$4)*10000)+Volatilities_Resets!$K57)),IF(BN68&gt;=BP$3,IF(BN68&lt;BQ$3,(((Volatilities_Resets!$K57-Volatilities_Resets!$I57)/50)*((Calculator!BN68-Calculator!BP$3)*10000)+Volatilities_Resets!$I57)),IF(BN68&gt;=BP$2,IF(BN68&lt;BQ$2,(((Volatilities_Resets!$I57-Volatilities_Resets!$G57)/50)*((Calculator!BN68-Calculator!BP$2)*10000)+Volatilities_Resets!$G57)),"Well, something broke...")))))))))))/10000</f>
        <v>1.3462999999999999E-2</v>
      </c>
      <c r="BQ68" s="63">
        <f t="shared" ca="1" si="35"/>
        <v>10472.601529608737</v>
      </c>
      <c r="BR68" s="63">
        <f t="shared" ca="1" si="36"/>
        <v>4.2405342176586586E-4</v>
      </c>
      <c r="BS68" s="63">
        <f t="shared" ca="1" si="47"/>
        <v>516749.66391811543</v>
      </c>
      <c r="BV68" s="63">
        <f t="shared" ca="1" si="37"/>
        <v>105.89922375757622</v>
      </c>
      <c r="BW68" s="63">
        <f ca="1">SUM($BV$15:BV68)</f>
        <v>4622.3858435893035</v>
      </c>
      <c r="BY68" s="52">
        <f ca="1">EXP(-AVERAGE(BO$15:BO68)*BL68)</f>
        <v>0.82262037844233415</v>
      </c>
      <c r="CA68" s="52">
        <f t="shared" ca="1" si="38"/>
        <v>54</v>
      </c>
      <c r="CB68" s="71">
        <f t="shared" ca="1" si="39"/>
        <v>46805</v>
      </c>
      <c r="CC68" s="71">
        <f t="shared" ca="1" si="12"/>
        <v>46834</v>
      </c>
      <c r="CD68" s="72">
        <f t="shared" ca="1" si="13"/>
        <v>29</v>
      </c>
      <c r="CE68" s="73">
        <f ca="1">SUM(CD$15:CD68)/360</f>
        <v>4.5638888888888891</v>
      </c>
      <c r="CF68" s="74">
        <f t="shared" si="14"/>
        <v>25000000</v>
      </c>
      <c r="CG68" s="59">
        <f t="shared" si="40"/>
        <v>0.06</v>
      </c>
      <c r="CH68" s="57">
        <f>Volatilities_Resets!$E57*0.01</f>
        <v>3.7591600000000003E-2</v>
      </c>
      <c r="CI68" s="61">
        <f>IF(CG68=CJ$11,Volatilities_Resets!$AA57,IF(CG68&gt;=CI$11,IF(CG68&lt;CJ$11,(((Volatilities_Resets!$AA57-Volatilities_Resets!$Y57)/50)*((Calculator!CG68-Calculator!CI$11)*10000)+Volatilities_Resets!$Y57)),IF(CG68&gt;=CI$10,IF(CG68&lt;CJ$10,(((Volatilities_Resets!$Y57-Volatilities_Resets!$W57)/50)*((Calculator!CG68-Calculator!CI$10)*10000)+Volatilities_Resets!$W57)),IF(CG68&gt;=CI$9,IF(CG68&lt;CJ$9,(((Volatilities_Resets!$W57-Volatilities_Resets!$U57)/50)*((Calculator!CG68-Calculator!CI$9)*10000)+Volatilities_Resets!$U57)),IF(CG68&gt;=CI$8,IF(CG68&lt;CJ$8,(((Volatilities_Resets!$U57-Volatilities_Resets!$S57)/50)*((Calculator!CG68-Calculator!CI$8)*10000)+Volatilities_Resets!$S57)),IF(CG68&gt;=CI$7,IF(CG68&lt;CJ$7,(((Volatilities_Resets!$S57-Volatilities_Resets!$Q57)/50)*((Calculator!CG68-Calculator!CI$7)*10000)+Volatilities_Resets!$Q57)),IF(CG68&gt;=CI$6,IF(CG68&lt;CJ$6,(((Volatilities_Resets!$Q57-Volatilities_Resets!$O57)/50)*((Calculator!CG68-Calculator!CI$6)*10000)+Volatilities_Resets!$O57)),IF(CG68&gt;=CI$5,IF(CG68&lt;CJ$5,(((Volatilities_Resets!$O57-Volatilities_Resets!$M57)/50)*((Calculator!CG68-Calculator!CI$5)*10000)+Volatilities_Resets!$M57)),IF(CG68&gt;=CI$4,IF(CG68&lt;CJ$4,(((Volatilities_Resets!$M57-Volatilities_Resets!$K57)/50)*((Calculator!CG68-Calculator!CI$4)*10000)+Volatilities_Resets!$K57)),IF(CG68&gt;=CI$3,IF(CG68&lt;CJ$3,(((Volatilities_Resets!$K57-Volatilities_Resets!$I57)/50)*((Calculator!CG68-Calculator!CI$3)*10000)+Volatilities_Resets!$I57)),IF(CG68&gt;=CI$2,IF(CG68&lt;CJ$2,(((Volatilities_Resets!$I57-Volatilities_Resets!$G57)/50)*((Calculator!CG68-Calculator!CI$2)*10000)+Volatilities_Resets!$G57)),"Well, something broke...")))))))))))/10000</f>
        <v>1.4463E-2</v>
      </c>
      <c r="CJ68" s="63">
        <f t="shared" ca="1" si="41"/>
        <v>7005.9762136677027</v>
      </c>
      <c r="CK68" s="63">
        <f t="shared" ca="1" si="42"/>
        <v>2.8458857328150707E-4</v>
      </c>
      <c r="CL68" s="63">
        <f t="shared" ca="1" si="48"/>
        <v>224510.82303787759</v>
      </c>
      <c r="CO68" s="63">
        <f t="shared" ca="1" si="43"/>
        <v>89.450192084615523</v>
      </c>
      <c r="CP68" s="63">
        <f ca="1">SUM($CO$15:CO68)</f>
        <v>3473.2678859037555</v>
      </c>
      <c r="CR68" s="52">
        <f ca="1">EXP(-AVERAGE(CH$15:CH68)*CE68)</f>
        <v>0.82262037844233415</v>
      </c>
      <c r="CT68"/>
      <c r="CU68"/>
      <c r="CV68"/>
      <c r="CW68"/>
      <c r="CX68"/>
      <c r="CY68"/>
      <c r="CZ68"/>
      <c r="DA68"/>
      <c r="DB68"/>
      <c r="DC68"/>
      <c r="DD68"/>
      <c r="DE68"/>
      <c r="DF68"/>
      <c r="DG68"/>
      <c r="DH68"/>
      <c r="DI68"/>
      <c r="DJ68"/>
      <c r="DK68"/>
      <c r="DL68"/>
    </row>
    <row r="69" spans="2:116" ht="15.75" customHeight="1" x14ac:dyDescent="0.2">
      <c r="B69" s="52">
        <v>5</v>
      </c>
      <c r="C69" s="52">
        <f t="shared" ca="1" si="49"/>
        <v>55</v>
      </c>
      <c r="D69" s="71">
        <f t="shared" ca="1" si="16"/>
        <v>46834</v>
      </c>
      <c r="E69" s="71">
        <f t="shared" ca="1" si="50"/>
        <v>46865</v>
      </c>
      <c r="F69" s="72">
        <f t="shared" ca="1" si="51"/>
        <v>31</v>
      </c>
      <c r="G69" s="73">
        <f ca="1">SUM($F$15:F69)/360</f>
        <v>4.6500000000000004</v>
      </c>
      <c r="H69" s="74">
        <f t="shared" si="2"/>
        <v>25000000</v>
      </c>
      <c r="I69" s="59">
        <f>IF('Cap Pricer'!$E$22=DataValidation!$C$2,'Cap Pricer'!$E$23,IF('Cap Pricer'!$E$22=DataValidation!$C$3,VLOOKUP($B69,'Cap Pricer'!$C$25:$E$31,3),""))</f>
        <v>0.02</v>
      </c>
      <c r="J69" s="57">
        <f>Volatilities_Resets!$E58*0.01</f>
        <v>3.7595499999999997E-2</v>
      </c>
      <c r="K69" s="61">
        <f>IF(I69=L$11,Volatilities_Resets!$AA58,IF(I69&gt;=K$11,IF(I69&lt;L$11,(((Volatilities_Resets!$AA58-Volatilities_Resets!$Y58)/50)*((Calculator!I69-Calculator!K$11)*10000)+Volatilities_Resets!$Y58)),IF(I69&gt;=K$10,IF(I69&lt;L$10,(((Volatilities_Resets!$Y58-Volatilities_Resets!$W58)/50)*((Calculator!I69-Calculator!K$10)*10000)+Volatilities_Resets!$W58)),IF(I69&gt;=K$9,IF(I69&lt;L$9,(((Volatilities_Resets!$W58-Volatilities_Resets!$U58)/50)*((Calculator!I69-Calculator!K$9)*10000)+Volatilities_Resets!$U58)),IF(I69&gt;=K$8,IF(I69&lt;L$8,(((Volatilities_Resets!$U58-Volatilities_Resets!$S58)/50)*((Calculator!I69-Calculator!K$8)*10000)+Volatilities_Resets!$S58)),IF(I69&gt;=K$7,IF(I69&lt;L$7,(((Volatilities_Resets!$S58-Volatilities_Resets!$Q58)/50)*((Calculator!I69-Calculator!K$7)*10000)+Volatilities_Resets!$Q58)),IF(I69&gt;=K$6,IF(I69&lt;L$6,(((Volatilities_Resets!$Q58-Volatilities_Resets!$O58)/50)*((Calculator!I69-Calculator!K$6)*10000)+Volatilities_Resets!$O58)),IF(I69&gt;=K$5,IF(I69&lt;L$5,(((Volatilities_Resets!$O58-Volatilities_Resets!$M58)/50)*((Calculator!I69-Calculator!K$5)*10000)+Volatilities_Resets!$M58)),IF(I69&gt;=K$4,IF(I69&lt;L$4,(((Volatilities_Resets!$M58-Volatilities_Resets!$K58)/50)*((Calculator!I69-Calculator!K$4)*10000)+Volatilities_Resets!$K58)),IF(I69&gt;=K$3,IF(I69&lt;L$3,(((Volatilities_Resets!$K58-Volatilities_Resets!$I58)/50)*((Calculator!I69-Calculator!K$3)*10000)+Volatilities_Resets!$I58)),IF(I69&gt;=K$2,IF(I69&lt;L$2,(((Volatilities_Resets!$I58-Volatilities_Resets!$G58)/50)*((Calculator!I69-Calculator!K$2)*10000)+Volatilities_Resets!$G58)),"Well, something broke...")))))))))))/10000</f>
        <v>1.2422000000000001E-2</v>
      </c>
      <c r="L69" s="47">
        <f t="shared" ca="1" si="17"/>
        <v>38322.270484002845</v>
      </c>
      <c r="M69" s="63">
        <f t="shared" ca="1" si="18"/>
        <v>1.5377946792206156E-3</v>
      </c>
      <c r="N69" s="63">
        <f t="shared" ca="1" si="44"/>
        <v>2685039.8093963373</v>
      </c>
      <c r="Q69" s="63">
        <f t="shared" ca="1" si="19"/>
        <v>100.52359568604312</v>
      </c>
      <c r="R69" s="63">
        <f ca="1">SUM($Q$15:Q69)</f>
        <v>3593.21564768191</v>
      </c>
      <c r="T69" s="52">
        <f ca="1">EXP(-AVERAGE(J$15:J69)*G69)</f>
        <v>0.81995488081308021</v>
      </c>
      <c r="U69" s="57"/>
      <c r="V69" s="52">
        <f t="shared" ca="1" si="20"/>
        <v>55</v>
      </c>
      <c r="W69" s="71">
        <f t="shared" ca="1" si="21"/>
        <v>46834</v>
      </c>
      <c r="X69" s="71">
        <f t="shared" ca="1" si="3"/>
        <v>46865</v>
      </c>
      <c r="Y69" s="72">
        <f t="shared" ca="1" si="4"/>
        <v>31</v>
      </c>
      <c r="Z69" s="73">
        <f ca="1">SUM(Y$15:Y69)/360</f>
        <v>4.6500000000000004</v>
      </c>
      <c r="AA69" s="74">
        <f t="shared" si="22"/>
        <v>25000000</v>
      </c>
      <c r="AB69" s="59">
        <f t="shared" si="23"/>
        <v>0.03</v>
      </c>
      <c r="AC69" s="57">
        <f>Volatilities_Resets!$E58*0.01</f>
        <v>3.7595499999999997E-2</v>
      </c>
      <c r="AD69" s="61">
        <f>IF(AB69=AE$11,Volatilities_Resets!$AA58,IF(AB69&gt;=AD$11,IF(AB69&lt;AE$11,(((Volatilities_Resets!$AA58-Volatilities_Resets!$Y58)/50)*((Calculator!AB69-Calculator!AD$11)*10000)+Volatilities_Resets!$Y58)),IF(AB69&gt;=AD$10,IF(AB69&lt;AE$10,(((Volatilities_Resets!$Y58-Volatilities_Resets!$W58)/50)*((Calculator!AB69-Calculator!AD$10)*10000)+Volatilities_Resets!$W58)),IF(AB69&gt;=AD$9,IF(AB69&lt;AE$9,(((Volatilities_Resets!$W58-Volatilities_Resets!$U58)/50)*((Calculator!AB69-Calculator!AD$9)*10000)+Volatilities_Resets!$U58)),IF(AB69&gt;=AD$8,IF(AB69&lt;AE$8,(((Volatilities_Resets!$U58-Volatilities_Resets!$S58)/50)*((Calculator!AB69-Calculator!AD$8)*10000)+Volatilities_Resets!$S58)),IF(AB69&gt;=AD$7,IF(AB69&lt;AE$7,(((Volatilities_Resets!$S58-Volatilities_Resets!$Q58)/50)*((Calculator!AB69-Calculator!AD$7)*10000)+Volatilities_Resets!$Q58)),IF(AB69&gt;=AD$6,IF(AB69&lt;AE$6,(((Volatilities_Resets!$Q58-Volatilities_Resets!$O58)/50)*((Calculator!AB69-Calculator!AD$6)*10000)+Volatilities_Resets!$O58)),IF(AB69&gt;=AD$5,IF(AB69&lt;AE$5,(((Volatilities_Resets!$O58-Volatilities_Resets!$M58)/50)*((Calculator!AB69-Calculator!AD$5)*10000)+Volatilities_Resets!$M58)),IF(AB69&gt;=AD$4,IF(AB69&lt;AE$4,(((Volatilities_Resets!$M58-Volatilities_Resets!$K58)/50)*((Calculator!AB69-Calculator!AD$4)*10000)+Volatilities_Resets!$K58)),IF(AB69&gt;=AD$3,IF(AB69&lt;AE$3,(((Volatilities_Resets!$K58-Volatilities_Resets!$I58)/50)*((Calculator!AB69-Calculator!AD$3)*10000)+Volatilities_Resets!$I58)),IF(AB69&gt;=AD$2,IF(AB69&lt;AE$2,(((Volatilities_Resets!$I58-Volatilities_Resets!$G58)/50)*((Calculator!AB69-Calculator!AD$2)*10000)+Volatilities_Resets!$G58)),"Well, something broke...")))))))))))/10000</f>
        <v>1.24E-2</v>
      </c>
      <c r="AE69" s="63">
        <f t="shared" ca="1" si="24"/>
        <v>26288.20567208351</v>
      </c>
      <c r="AF69" s="63">
        <f t="shared" ca="1" si="25"/>
        <v>1.0573640805351435E-3</v>
      </c>
      <c r="AG69" s="63">
        <f t="shared" ca="1" si="45"/>
        <v>1841898.0364108521</v>
      </c>
      <c r="AJ69" s="63">
        <f t="shared" ca="1" si="26"/>
        <v>119.62841713767077</v>
      </c>
      <c r="AK69" s="63">
        <f ca="1">SUM($AJ$15:AJ69)</f>
        <v>4419.1998297653899</v>
      </c>
      <c r="AM69" s="52">
        <f ca="1">EXP(-AVERAGE(AC$15:AC69)*Z69)</f>
        <v>0.81995488081308021</v>
      </c>
      <c r="AO69" s="52">
        <f t="shared" ca="1" si="27"/>
        <v>55</v>
      </c>
      <c r="AP69" s="71">
        <f t="shared" ca="1" si="28"/>
        <v>46834</v>
      </c>
      <c r="AQ69" s="71">
        <f t="shared" ca="1" si="5"/>
        <v>46865</v>
      </c>
      <c r="AR69" s="72">
        <f t="shared" ca="1" si="6"/>
        <v>31</v>
      </c>
      <c r="AS69" s="73">
        <f ca="1">SUM(AR$15:AR69)/360</f>
        <v>4.6500000000000004</v>
      </c>
      <c r="AT69" s="74">
        <f t="shared" si="7"/>
        <v>25000000</v>
      </c>
      <c r="AU69" s="59">
        <f t="shared" si="29"/>
        <v>0.04</v>
      </c>
      <c r="AV69" s="57">
        <f>Volatilities_Resets!$E58*0.01</f>
        <v>3.7595499999999997E-2</v>
      </c>
      <c r="AW69" s="61">
        <f>IF(AU69=AX$11,Volatilities_Resets!$AA58,IF(AU69&gt;=AW$11,IF(AU69&lt;AX$11,(((Volatilities_Resets!$AA58-Volatilities_Resets!$Y58)/50)*((Calculator!AU69-Calculator!AW$11)*10000)+Volatilities_Resets!$Y58)),IF(AU69&gt;=AW$10,IF(AU69&lt;AX$10,(((Volatilities_Resets!$Y58-Volatilities_Resets!$W58)/50)*((Calculator!AU69-Calculator!AW$10)*10000)+Volatilities_Resets!$W58)),IF(AU69&gt;=AW$9,IF(AU69&lt;AX$9,(((Volatilities_Resets!$W58-Volatilities_Resets!$U58)/50)*((Calculator!AU69-Calculator!AW$9)*10000)+Volatilities_Resets!$U58)),IF(AU69&gt;=AW$8,IF(AU69&lt;AX$8,(((Volatilities_Resets!$U58-Volatilities_Resets!$S58)/50)*((Calculator!AU69-Calculator!AW$8)*10000)+Volatilities_Resets!$S58)),IF(AU69&gt;=AW$7,IF(AU69&lt;AX$7,(((Volatilities_Resets!$S58-Volatilities_Resets!$Q58)/50)*((Calculator!AU69-Calculator!AW$7)*10000)+Volatilities_Resets!$Q58)),IF(AU69&gt;=AW$6,IF(AU69&lt;AX$6,(((Volatilities_Resets!$Q58-Volatilities_Resets!$O58)/50)*((Calculator!AU69-Calculator!AW$6)*10000)+Volatilities_Resets!$O58)),IF(AU69&gt;=AW$5,IF(AU69&lt;AX$5,(((Volatilities_Resets!$O58-Volatilities_Resets!$M58)/50)*((Calculator!AU69-Calculator!AW$5)*10000)+Volatilities_Resets!$M58)),IF(AU69&gt;=AW$4,IF(AU69&lt;AX$4,(((Volatilities_Resets!$M58-Volatilities_Resets!$K58)/50)*((Calculator!AU69-Calculator!AW$4)*10000)+Volatilities_Resets!$K58)),IF(AU69&gt;=AW$3,IF(AU69&lt;AX$3,(((Volatilities_Resets!$K58-Volatilities_Resets!$I58)/50)*((Calculator!AU69-Calculator!AW$3)*10000)+Volatilities_Resets!$I58)),IF(AU69&gt;=AW$2,IF(AU69&lt;AX$2,(((Volatilities_Resets!$I58-Volatilities_Resets!$G58)/50)*((Calculator!AU69-Calculator!AW$2)*10000)+Volatilities_Resets!$G58)),"Well, something broke...")))))))))))/10000</f>
        <v>1.2745000000000001E-2</v>
      </c>
      <c r="AX69" s="63">
        <f t="shared" ca="1" si="30"/>
        <v>17305.604460503706</v>
      </c>
      <c r="AY69" s="63">
        <f t="shared" ca="1" si="31"/>
        <v>6.9827530833184534E-4</v>
      </c>
      <c r="AZ69" s="63">
        <f t="shared" ca="1" si="46"/>
        <v>1099316.9652841869</v>
      </c>
      <c r="BC69" s="63">
        <f t="shared" ca="1" si="8"/>
        <v>124.04133763825253</v>
      </c>
      <c r="BD69" s="63">
        <f ca="1">SUM($BC$15:BC69)</f>
        <v>4835.136009923368</v>
      </c>
      <c r="BF69" s="52">
        <f ca="1">EXP(-AVERAGE(AV$15:AV69)*AS69)</f>
        <v>0.81995488081308021</v>
      </c>
      <c r="BH69" s="52">
        <f t="shared" ca="1" si="32"/>
        <v>55</v>
      </c>
      <c r="BI69" s="71">
        <f t="shared" ca="1" si="33"/>
        <v>46834</v>
      </c>
      <c r="BJ69" s="71">
        <f t="shared" ca="1" si="9"/>
        <v>46865</v>
      </c>
      <c r="BK69" s="72">
        <f t="shared" ca="1" si="10"/>
        <v>31</v>
      </c>
      <c r="BL69" s="73">
        <f ca="1">SUM(BK$15:BK69)/360</f>
        <v>4.6500000000000004</v>
      </c>
      <c r="BM69" s="74">
        <f t="shared" si="11"/>
        <v>25000000</v>
      </c>
      <c r="BN69" s="59">
        <f t="shared" si="34"/>
        <v>0.05</v>
      </c>
      <c r="BO69" s="57">
        <f>Volatilities_Resets!$E58*0.01</f>
        <v>3.7595499999999997E-2</v>
      </c>
      <c r="BP69" s="61">
        <f>IF(BN69=BQ$11,Volatilities_Resets!$AA58,IF(BN69&gt;=BP$11,IF(BN69&lt;BQ$11,(((Volatilities_Resets!$AA58-Volatilities_Resets!$Y58)/50)*((Calculator!BN69-Calculator!BP$11)*10000)+Volatilities_Resets!$Y58)),IF(BN69&gt;=BP$10,IF(BN69&lt;BQ$10,(((Volatilities_Resets!$Y58-Volatilities_Resets!$W58)/50)*((Calculator!BN69-Calculator!BP$10)*10000)+Volatilities_Resets!$W58)),IF(BN69&gt;=BP$9,IF(BN69&lt;BQ$9,(((Volatilities_Resets!$W58-Volatilities_Resets!$U58)/50)*((Calculator!BN69-Calculator!BP$9)*10000)+Volatilities_Resets!$U58)),IF(BN69&gt;=BP$8,IF(BN69&lt;BQ$8,(((Volatilities_Resets!$U58-Volatilities_Resets!$S58)/50)*((Calculator!BN69-Calculator!BP$8)*10000)+Volatilities_Resets!$S58)),IF(BN69&gt;=BP$7,IF(BN69&lt;BQ$7,(((Volatilities_Resets!$S58-Volatilities_Resets!$Q58)/50)*((Calculator!BN69-Calculator!BP$7)*10000)+Volatilities_Resets!$Q58)),IF(BN69&gt;=BP$6,IF(BN69&lt;BQ$6,(((Volatilities_Resets!$Q58-Volatilities_Resets!$O58)/50)*((Calculator!BN69-Calculator!BP$6)*10000)+Volatilities_Resets!$O58)),IF(BN69&gt;=BP$5,IF(BN69&lt;BQ$5,(((Volatilities_Resets!$O58-Volatilities_Resets!$M58)/50)*((Calculator!BN69-Calculator!BP$5)*10000)+Volatilities_Resets!$M58)),IF(BN69&gt;=BP$4,IF(BN69&lt;BQ$4,(((Volatilities_Resets!$M58-Volatilities_Resets!$K58)/50)*((Calculator!BN69-Calculator!BP$4)*10000)+Volatilities_Resets!$K58)),IF(BN69&gt;=BP$3,IF(BN69&lt;BQ$3,(((Volatilities_Resets!$K58-Volatilities_Resets!$I58)/50)*((Calculator!BN69-Calculator!BP$3)*10000)+Volatilities_Resets!$I58)),IF(BN69&gt;=BP$2,IF(BN69&lt;BQ$2,(((Volatilities_Resets!$I58-Volatilities_Resets!$G58)/50)*((Calculator!BN69-Calculator!BP$2)*10000)+Volatilities_Resets!$G58)),"Well, something broke...")))))))))))/10000</f>
        <v>1.3463999999999999E-2</v>
      </c>
      <c r="BQ69" s="63">
        <f t="shared" ca="1" si="35"/>
        <v>11335.696263865329</v>
      </c>
      <c r="BR69" s="63">
        <f t="shared" ca="1" si="36"/>
        <v>4.5897589532718015E-4</v>
      </c>
      <c r="BS69" s="63">
        <f t="shared" ca="1" si="47"/>
        <v>528085.36018198077</v>
      </c>
      <c r="BV69" s="63">
        <f t="shared" ca="1" si="37"/>
        <v>113.72865975589455</v>
      </c>
      <c r="BW69" s="63">
        <f ca="1">SUM($BV$15:BV69)</f>
        <v>4736.1145033451976</v>
      </c>
      <c r="BY69" s="52">
        <f ca="1">EXP(-AVERAGE(BO$15:BO69)*BL69)</f>
        <v>0.81995488081308021</v>
      </c>
      <c r="CA69" s="52">
        <f t="shared" ca="1" si="38"/>
        <v>55</v>
      </c>
      <c r="CB69" s="71">
        <f t="shared" ca="1" si="39"/>
        <v>46834</v>
      </c>
      <c r="CC69" s="71">
        <f t="shared" ca="1" si="12"/>
        <v>46865</v>
      </c>
      <c r="CD69" s="72">
        <f t="shared" ca="1" si="13"/>
        <v>31</v>
      </c>
      <c r="CE69" s="73">
        <f ca="1">SUM(CD$15:CD69)/360</f>
        <v>4.6500000000000004</v>
      </c>
      <c r="CF69" s="74">
        <f t="shared" si="14"/>
        <v>25000000</v>
      </c>
      <c r="CG69" s="59">
        <f t="shared" si="40"/>
        <v>0.06</v>
      </c>
      <c r="CH69" s="57">
        <f>Volatilities_Resets!$E58*0.01</f>
        <v>3.7595499999999997E-2</v>
      </c>
      <c r="CI69" s="61">
        <f>IF(CG69=CJ$11,Volatilities_Resets!$AA58,IF(CG69&gt;=CI$11,IF(CG69&lt;CJ$11,(((Volatilities_Resets!$AA58-Volatilities_Resets!$Y58)/50)*((Calculator!CG69-Calculator!CI$11)*10000)+Volatilities_Resets!$Y58)),IF(CG69&gt;=CI$10,IF(CG69&lt;CJ$10,(((Volatilities_Resets!$Y58-Volatilities_Resets!$W58)/50)*((Calculator!CG69-Calculator!CI$10)*10000)+Volatilities_Resets!$W58)),IF(CG69&gt;=CI$9,IF(CG69&lt;CJ$9,(((Volatilities_Resets!$W58-Volatilities_Resets!$U58)/50)*((Calculator!CG69-Calculator!CI$9)*10000)+Volatilities_Resets!$U58)),IF(CG69&gt;=CI$8,IF(CG69&lt;CJ$8,(((Volatilities_Resets!$U58-Volatilities_Resets!$S58)/50)*((Calculator!CG69-Calculator!CI$8)*10000)+Volatilities_Resets!$S58)),IF(CG69&gt;=CI$7,IF(CG69&lt;CJ$7,(((Volatilities_Resets!$S58-Volatilities_Resets!$Q58)/50)*((Calculator!CG69-Calculator!CI$7)*10000)+Volatilities_Resets!$Q58)),IF(CG69&gt;=CI$6,IF(CG69&lt;CJ$6,(((Volatilities_Resets!$Q58-Volatilities_Resets!$O58)/50)*((Calculator!CG69-Calculator!CI$6)*10000)+Volatilities_Resets!$O58)),IF(CG69&gt;=CI$5,IF(CG69&lt;CJ$5,(((Volatilities_Resets!$O58-Volatilities_Resets!$M58)/50)*((Calculator!CG69-Calculator!CI$5)*10000)+Volatilities_Resets!$M58)),IF(CG69&gt;=CI$4,IF(CG69&lt;CJ$4,(((Volatilities_Resets!$M58-Volatilities_Resets!$K58)/50)*((Calculator!CG69-Calculator!CI$4)*10000)+Volatilities_Resets!$K58)),IF(CG69&gt;=CI$3,IF(CG69&lt;CJ$3,(((Volatilities_Resets!$K58-Volatilities_Resets!$I58)/50)*((Calculator!CG69-Calculator!CI$3)*10000)+Volatilities_Resets!$I58)),IF(CG69&gt;=CI$2,IF(CG69&lt;CJ$2,(((Volatilities_Resets!$I58-Volatilities_Resets!$G58)/50)*((Calculator!CG69-Calculator!CI$2)*10000)+Volatilities_Resets!$G58)),"Well, something broke...")))))))))))/10000</f>
        <v>1.4463E-2</v>
      </c>
      <c r="CJ69" s="63">
        <f t="shared" ca="1" si="41"/>
        <v>7623.9530047165308</v>
      </c>
      <c r="CK69" s="63">
        <f t="shared" ca="1" si="42"/>
        <v>3.0965916348954438E-4</v>
      </c>
      <c r="CL69" s="63">
        <f t="shared" ca="1" si="48"/>
        <v>232134.77604259411</v>
      </c>
      <c r="CO69" s="63">
        <f t="shared" ca="1" si="43"/>
        <v>96.366084986819047</v>
      </c>
      <c r="CP69" s="63">
        <f ca="1">SUM($CO$15:CO69)</f>
        <v>3569.6339708905748</v>
      </c>
      <c r="CR69" s="52">
        <f ca="1">EXP(-AVERAGE(CH$15:CH69)*CE69)</f>
        <v>0.81995488081308021</v>
      </c>
      <c r="CT69"/>
      <c r="CU69"/>
      <c r="CV69"/>
      <c r="CW69"/>
      <c r="CX69"/>
      <c r="CY69"/>
      <c r="CZ69"/>
      <c r="DA69"/>
      <c r="DB69"/>
      <c r="DC69"/>
      <c r="DD69"/>
      <c r="DE69"/>
      <c r="DF69"/>
      <c r="DG69"/>
      <c r="DH69"/>
      <c r="DI69"/>
      <c r="DJ69"/>
      <c r="DK69"/>
      <c r="DL69"/>
    </row>
    <row r="70" spans="2:116" ht="15.75" customHeight="1" x14ac:dyDescent="0.2">
      <c r="B70" s="52">
        <v>5</v>
      </c>
      <c r="C70" s="52">
        <f t="shared" ca="1" si="49"/>
        <v>56</v>
      </c>
      <c r="D70" s="71">
        <f t="shared" ca="1" si="16"/>
        <v>46865</v>
      </c>
      <c r="E70" s="71">
        <f t="shared" ca="1" si="50"/>
        <v>46895</v>
      </c>
      <c r="F70" s="72">
        <f t="shared" ca="1" si="51"/>
        <v>30</v>
      </c>
      <c r="G70" s="73">
        <f ca="1">SUM($F$15:F70)/360</f>
        <v>4.7333333333333334</v>
      </c>
      <c r="H70" s="74">
        <f t="shared" si="2"/>
        <v>25000000</v>
      </c>
      <c r="I70" s="59">
        <f>IF('Cap Pricer'!$E$22=DataValidation!$C$2,'Cap Pricer'!$E$23,IF('Cap Pricer'!$E$22=DataValidation!$C$3,VLOOKUP($B70,'Cap Pricer'!$C$25:$E$31,3),""))</f>
        <v>0.02</v>
      </c>
      <c r="J70" s="57">
        <f>Volatilities_Resets!$E59*0.01</f>
        <v>3.7593599999999998E-2</v>
      </c>
      <c r="K70" s="61">
        <f>IF(I70=L$11,Volatilities_Resets!$AA59,IF(I70&gt;=K$11,IF(I70&lt;L$11,(((Volatilities_Resets!$AA59-Volatilities_Resets!$Y59)/50)*((Calculator!I70-Calculator!K$11)*10000)+Volatilities_Resets!$Y59)),IF(I70&gt;=K$10,IF(I70&lt;L$10,(((Volatilities_Resets!$Y59-Volatilities_Resets!$W59)/50)*((Calculator!I70-Calculator!K$10)*10000)+Volatilities_Resets!$W59)),IF(I70&gt;=K$9,IF(I70&lt;L$9,(((Volatilities_Resets!$W59-Volatilities_Resets!$U59)/50)*((Calculator!I70-Calculator!K$9)*10000)+Volatilities_Resets!$U59)),IF(I70&gt;=K$8,IF(I70&lt;L$8,(((Volatilities_Resets!$U59-Volatilities_Resets!$S59)/50)*((Calculator!I70-Calculator!K$8)*10000)+Volatilities_Resets!$S59)),IF(I70&gt;=K$7,IF(I70&lt;L$7,(((Volatilities_Resets!$S59-Volatilities_Resets!$Q59)/50)*((Calculator!I70-Calculator!K$7)*10000)+Volatilities_Resets!$Q59)),IF(I70&gt;=K$6,IF(I70&lt;L$6,(((Volatilities_Resets!$Q59-Volatilities_Resets!$O59)/50)*((Calculator!I70-Calculator!K$6)*10000)+Volatilities_Resets!$O59)),IF(I70&gt;=K$5,IF(I70&lt;L$5,(((Volatilities_Resets!$O59-Volatilities_Resets!$M59)/50)*((Calculator!I70-Calculator!K$5)*10000)+Volatilities_Resets!$M59)),IF(I70&gt;=K$4,IF(I70&lt;L$4,(((Volatilities_Resets!$M59-Volatilities_Resets!$K59)/50)*((Calculator!I70-Calculator!K$4)*10000)+Volatilities_Resets!$K59)),IF(I70&gt;=K$3,IF(I70&lt;L$3,(((Volatilities_Resets!$K59-Volatilities_Resets!$I59)/50)*((Calculator!I70-Calculator!K$3)*10000)+Volatilities_Resets!$I59)),IF(I70&gt;=K$2,IF(I70&lt;L$2,(((Volatilities_Resets!$I59-Volatilities_Resets!$G59)/50)*((Calculator!I70-Calculator!K$2)*10000)+Volatilities_Resets!$G59)),"Well, something broke...")))))))))))/10000</f>
        <v>1.2422000000000001E-2</v>
      </c>
      <c r="L70" s="47">
        <f t="shared" ca="1" si="17"/>
        <v>37098.974161028651</v>
      </c>
      <c r="M70" s="63">
        <f t="shared" ca="1" si="18"/>
        <v>1.4887502610323668E-3</v>
      </c>
      <c r="N70" s="63">
        <f t="shared" ca="1" si="44"/>
        <v>2722138.7835573661</v>
      </c>
      <c r="Q70" s="63">
        <f t="shared" ca="1" si="19"/>
        <v>97.90951856124947</v>
      </c>
      <c r="R70" s="63">
        <f ca="1">SUM($Q$15:Q70)</f>
        <v>3691.1251662431596</v>
      </c>
      <c r="T70" s="52">
        <f ca="1">EXP(-AVERAGE(J$15:J70)*G70)</f>
        <v>0.81739510436828144</v>
      </c>
      <c r="U70" s="57"/>
      <c r="V70" s="52">
        <f t="shared" ca="1" si="20"/>
        <v>56</v>
      </c>
      <c r="W70" s="71">
        <f t="shared" ca="1" si="21"/>
        <v>46865</v>
      </c>
      <c r="X70" s="71">
        <f t="shared" ca="1" si="3"/>
        <v>46895</v>
      </c>
      <c r="Y70" s="72">
        <f t="shared" ca="1" si="4"/>
        <v>30</v>
      </c>
      <c r="Z70" s="73">
        <f ca="1">SUM(Y$15:Y70)/360</f>
        <v>4.7333333333333334</v>
      </c>
      <c r="AA70" s="74">
        <f t="shared" si="22"/>
        <v>25000000</v>
      </c>
      <c r="AB70" s="59">
        <f t="shared" si="23"/>
        <v>0.03</v>
      </c>
      <c r="AC70" s="57">
        <f>Volatilities_Resets!$E59*0.01</f>
        <v>3.7593599999999998E-2</v>
      </c>
      <c r="AD70" s="61">
        <f>IF(AB70=AE$11,Volatilities_Resets!$AA59,IF(AB70&gt;=AD$11,IF(AB70&lt;AE$11,(((Volatilities_Resets!$AA59-Volatilities_Resets!$Y59)/50)*((Calculator!AB70-Calculator!AD$11)*10000)+Volatilities_Resets!$Y59)),IF(AB70&gt;=AD$10,IF(AB70&lt;AE$10,(((Volatilities_Resets!$Y59-Volatilities_Resets!$W59)/50)*((Calculator!AB70-Calculator!AD$10)*10000)+Volatilities_Resets!$W59)),IF(AB70&gt;=AD$9,IF(AB70&lt;AE$9,(((Volatilities_Resets!$W59-Volatilities_Resets!$U59)/50)*((Calculator!AB70-Calculator!AD$9)*10000)+Volatilities_Resets!$U59)),IF(AB70&gt;=AD$8,IF(AB70&lt;AE$8,(((Volatilities_Resets!$U59-Volatilities_Resets!$S59)/50)*((Calculator!AB70-Calculator!AD$8)*10000)+Volatilities_Resets!$S59)),IF(AB70&gt;=AD$7,IF(AB70&lt;AE$7,(((Volatilities_Resets!$S59-Volatilities_Resets!$Q59)/50)*((Calculator!AB70-Calculator!AD$7)*10000)+Volatilities_Resets!$Q59)),IF(AB70&gt;=AD$6,IF(AB70&lt;AE$6,(((Volatilities_Resets!$Q59-Volatilities_Resets!$O59)/50)*((Calculator!AB70-Calculator!AD$6)*10000)+Volatilities_Resets!$O59)),IF(AB70&gt;=AD$5,IF(AB70&lt;AE$5,(((Volatilities_Resets!$O59-Volatilities_Resets!$M59)/50)*((Calculator!AB70-Calculator!AD$5)*10000)+Volatilities_Resets!$M59)),IF(AB70&gt;=AD$4,IF(AB70&lt;AE$4,(((Volatilities_Resets!$M59-Volatilities_Resets!$K59)/50)*((Calculator!AB70-Calculator!AD$4)*10000)+Volatilities_Resets!$K59)),IF(AB70&gt;=AD$3,IF(AB70&lt;AE$3,(((Volatilities_Resets!$K59-Volatilities_Resets!$I59)/50)*((Calculator!AB70-Calculator!AD$3)*10000)+Volatilities_Resets!$I59)),IF(AB70&gt;=AD$2,IF(AB70&lt;AE$2,(((Volatilities_Resets!$I59-Volatilities_Resets!$G59)/50)*((Calculator!AB70-Calculator!AD$2)*10000)+Volatilities_Resets!$G59)),"Well, something broke...")))))))))))/10000</f>
        <v>1.24E-2</v>
      </c>
      <c r="AE70" s="63">
        <f t="shared" ca="1" si="24"/>
        <v>25514.50102483503</v>
      </c>
      <c r="AF70" s="63">
        <f t="shared" ca="1" si="25"/>
        <v>1.0262643496084622E-3</v>
      </c>
      <c r="AG70" s="63">
        <f t="shared" ca="1" si="45"/>
        <v>1867412.5374356871</v>
      </c>
      <c r="AJ70" s="63">
        <f t="shared" ca="1" si="26"/>
        <v>116.15815084173197</v>
      </c>
      <c r="AK70" s="63">
        <f ca="1">SUM($AJ$15:AJ70)</f>
        <v>4535.357980607122</v>
      </c>
      <c r="AM70" s="52">
        <f ca="1">EXP(-AVERAGE(AC$15:AC70)*Z70)</f>
        <v>0.81739510436828144</v>
      </c>
      <c r="AO70" s="52">
        <f t="shared" ca="1" si="27"/>
        <v>56</v>
      </c>
      <c r="AP70" s="71">
        <f t="shared" ca="1" si="28"/>
        <v>46865</v>
      </c>
      <c r="AQ70" s="71">
        <f t="shared" ca="1" si="5"/>
        <v>46895</v>
      </c>
      <c r="AR70" s="72">
        <f t="shared" ca="1" si="6"/>
        <v>30</v>
      </c>
      <c r="AS70" s="73">
        <f ca="1">SUM(AR$15:AR70)/360</f>
        <v>4.7333333333333334</v>
      </c>
      <c r="AT70" s="74">
        <f t="shared" si="7"/>
        <v>25000000</v>
      </c>
      <c r="AU70" s="59">
        <f t="shared" si="29"/>
        <v>0.04</v>
      </c>
      <c r="AV70" s="57">
        <f>Volatilities_Resets!$E59*0.01</f>
        <v>3.7593599999999998E-2</v>
      </c>
      <c r="AW70" s="61">
        <f>IF(AU70=AX$11,Volatilities_Resets!$AA59,IF(AU70&gt;=AW$11,IF(AU70&lt;AX$11,(((Volatilities_Resets!$AA59-Volatilities_Resets!$Y59)/50)*((Calculator!AU70-Calculator!AW$11)*10000)+Volatilities_Resets!$Y59)),IF(AU70&gt;=AW$10,IF(AU70&lt;AX$10,(((Volatilities_Resets!$Y59-Volatilities_Resets!$W59)/50)*((Calculator!AU70-Calculator!AW$10)*10000)+Volatilities_Resets!$W59)),IF(AU70&gt;=AW$9,IF(AU70&lt;AX$9,(((Volatilities_Resets!$W59-Volatilities_Resets!$U59)/50)*((Calculator!AU70-Calculator!AW$9)*10000)+Volatilities_Resets!$U59)),IF(AU70&gt;=AW$8,IF(AU70&lt;AX$8,(((Volatilities_Resets!$U59-Volatilities_Resets!$S59)/50)*((Calculator!AU70-Calculator!AW$8)*10000)+Volatilities_Resets!$S59)),IF(AU70&gt;=AW$7,IF(AU70&lt;AX$7,(((Volatilities_Resets!$S59-Volatilities_Resets!$Q59)/50)*((Calculator!AU70-Calculator!AW$7)*10000)+Volatilities_Resets!$Q59)),IF(AU70&gt;=AW$6,IF(AU70&lt;AX$6,(((Volatilities_Resets!$Q59-Volatilities_Resets!$O59)/50)*((Calculator!AU70-Calculator!AW$6)*10000)+Volatilities_Resets!$O59)),IF(AU70&gt;=AW$5,IF(AU70&lt;AX$5,(((Volatilities_Resets!$O59-Volatilities_Resets!$M59)/50)*((Calculator!AU70-Calculator!AW$5)*10000)+Volatilities_Resets!$M59)),IF(AU70&gt;=AW$4,IF(AU70&lt;AX$4,(((Volatilities_Resets!$M59-Volatilities_Resets!$K59)/50)*((Calculator!AU70-Calculator!AW$4)*10000)+Volatilities_Resets!$K59)),IF(AU70&gt;=AW$3,IF(AU70&lt;AX$3,(((Volatilities_Resets!$K59-Volatilities_Resets!$I59)/50)*((Calculator!AU70-Calculator!AW$3)*10000)+Volatilities_Resets!$I59)),IF(AU70&gt;=AW$2,IF(AU70&lt;AX$2,(((Volatilities_Resets!$I59-Volatilities_Resets!$G59)/50)*((Calculator!AU70-Calculator!AW$2)*10000)+Volatilities_Resets!$G59)),"Well, something broke...")))))))))))/10000</f>
        <v>1.2745000000000001E-2</v>
      </c>
      <c r="AX70" s="63">
        <f t="shared" ca="1" si="30"/>
        <v>16859.499639059915</v>
      </c>
      <c r="AY70" s="63">
        <f t="shared" ca="1" si="31"/>
        <v>6.802700718491234E-4</v>
      </c>
      <c r="AZ70" s="63">
        <f t="shared" ca="1" si="46"/>
        <v>1116176.4649232468</v>
      </c>
      <c r="BC70" s="63">
        <f t="shared" ca="1" si="8"/>
        <v>120.36319237693145</v>
      </c>
      <c r="BD70" s="63">
        <f ca="1">SUM($BC$15:BC70)</f>
        <v>4955.4992023002997</v>
      </c>
      <c r="BF70" s="52">
        <f ca="1">EXP(-AVERAGE(AV$15:AV70)*AS70)</f>
        <v>0.81739510436828144</v>
      </c>
      <c r="BH70" s="52">
        <f t="shared" ca="1" si="32"/>
        <v>56</v>
      </c>
      <c r="BI70" s="71">
        <f t="shared" ca="1" si="33"/>
        <v>46865</v>
      </c>
      <c r="BJ70" s="71">
        <f t="shared" ca="1" si="9"/>
        <v>46895</v>
      </c>
      <c r="BK70" s="72">
        <f t="shared" ca="1" si="10"/>
        <v>30</v>
      </c>
      <c r="BL70" s="73">
        <f ca="1">SUM(BK$15:BK70)/360</f>
        <v>4.7333333333333334</v>
      </c>
      <c r="BM70" s="74">
        <f t="shared" si="11"/>
        <v>25000000</v>
      </c>
      <c r="BN70" s="59">
        <f t="shared" si="34"/>
        <v>0.05</v>
      </c>
      <c r="BO70" s="57">
        <f>Volatilities_Resets!$E59*0.01</f>
        <v>3.7593599999999998E-2</v>
      </c>
      <c r="BP70" s="61">
        <f>IF(BN70=BQ$11,Volatilities_Resets!$AA59,IF(BN70&gt;=BP$11,IF(BN70&lt;BQ$11,(((Volatilities_Resets!$AA59-Volatilities_Resets!$Y59)/50)*((Calculator!BN70-Calculator!BP$11)*10000)+Volatilities_Resets!$Y59)),IF(BN70&gt;=BP$10,IF(BN70&lt;BQ$10,(((Volatilities_Resets!$Y59-Volatilities_Resets!$W59)/50)*((Calculator!BN70-Calculator!BP$10)*10000)+Volatilities_Resets!$W59)),IF(BN70&gt;=BP$9,IF(BN70&lt;BQ$9,(((Volatilities_Resets!$W59-Volatilities_Resets!$U59)/50)*((Calculator!BN70-Calculator!BP$9)*10000)+Volatilities_Resets!$U59)),IF(BN70&gt;=BP$8,IF(BN70&lt;BQ$8,(((Volatilities_Resets!$U59-Volatilities_Resets!$S59)/50)*((Calculator!BN70-Calculator!BP$8)*10000)+Volatilities_Resets!$S59)),IF(BN70&gt;=BP$7,IF(BN70&lt;BQ$7,(((Volatilities_Resets!$S59-Volatilities_Resets!$Q59)/50)*((Calculator!BN70-Calculator!BP$7)*10000)+Volatilities_Resets!$Q59)),IF(BN70&gt;=BP$6,IF(BN70&lt;BQ$6,(((Volatilities_Resets!$Q59-Volatilities_Resets!$O59)/50)*((Calculator!BN70-Calculator!BP$6)*10000)+Volatilities_Resets!$O59)),IF(BN70&gt;=BP$5,IF(BN70&lt;BQ$5,(((Volatilities_Resets!$O59-Volatilities_Resets!$M59)/50)*((Calculator!BN70-Calculator!BP$5)*10000)+Volatilities_Resets!$M59)),IF(BN70&gt;=BP$4,IF(BN70&lt;BQ$4,(((Volatilities_Resets!$M59-Volatilities_Resets!$K59)/50)*((Calculator!BN70-Calculator!BP$4)*10000)+Volatilities_Resets!$K59)),IF(BN70&gt;=BP$3,IF(BN70&lt;BQ$3,(((Volatilities_Resets!$K59-Volatilities_Resets!$I59)/50)*((Calculator!BN70-Calculator!BP$3)*10000)+Volatilities_Resets!$I59)),IF(BN70&gt;=BP$2,IF(BN70&lt;BQ$2,(((Volatilities_Resets!$I59-Volatilities_Resets!$G59)/50)*((Calculator!BN70-Calculator!BP$2)*10000)+Volatilities_Resets!$G59)),"Well, something broke...")))))))))))/10000</f>
        <v>1.3462999999999999E-2</v>
      </c>
      <c r="BQ70" s="63">
        <f t="shared" ca="1" si="35"/>
        <v>11094.081008926047</v>
      </c>
      <c r="BR70" s="63">
        <f t="shared" ca="1" si="36"/>
        <v>4.4917170262935053E-4</v>
      </c>
      <c r="BS70" s="63">
        <f t="shared" ca="1" si="47"/>
        <v>539179.4411909068</v>
      </c>
      <c r="BV70" s="63">
        <f t="shared" ca="1" si="37"/>
        <v>110.52126458864183</v>
      </c>
      <c r="BW70" s="63">
        <f ca="1">SUM($BV$15:BV70)</f>
        <v>4846.6357679338398</v>
      </c>
      <c r="BY70" s="52">
        <f ca="1">EXP(-AVERAGE(BO$15:BO70)*BL70)</f>
        <v>0.81739510436828144</v>
      </c>
      <c r="CA70" s="52">
        <f t="shared" ca="1" si="38"/>
        <v>56</v>
      </c>
      <c r="CB70" s="71">
        <f t="shared" ca="1" si="39"/>
        <v>46865</v>
      </c>
      <c r="CC70" s="71">
        <f t="shared" ca="1" si="12"/>
        <v>46895</v>
      </c>
      <c r="CD70" s="72">
        <f t="shared" ca="1" si="13"/>
        <v>30</v>
      </c>
      <c r="CE70" s="73">
        <f ca="1">SUM(CD$15:CD70)/360</f>
        <v>4.7333333333333334</v>
      </c>
      <c r="CF70" s="74">
        <f t="shared" si="14"/>
        <v>25000000</v>
      </c>
      <c r="CG70" s="59">
        <f t="shared" si="40"/>
        <v>0.06</v>
      </c>
      <c r="CH70" s="57">
        <f>Volatilities_Resets!$E59*0.01</f>
        <v>3.7593599999999998E-2</v>
      </c>
      <c r="CI70" s="61">
        <f>IF(CG70=CJ$11,Volatilities_Resets!$AA59,IF(CG70&gt;=CI$11,IF(CG70&lt;CJ$11,(((Volatilities_Resets!$AA59-Volatilities_Resets!$Y59)/50)*((Calculator!CG70-Calculator!CI$11)*10000)+Volatilities_Resets!$Y59)),IF(CG70&gt;=CI$10,IF(CG70&lt;CJ$10,(((Volatilities_Resets!$Y59-Volatilities_Resets!$W59)/50)*((Calculator!CG70-Calculator!CI$10)*10000)+Volatilities_Resets!$W59)),IF(CG70&gt;=CI$9,IF(CG70&lt;CJ$9,(((Volatilities_Resets!$W59-Volatilities_Resets!$U59)/50)*((Calculator!CG70-Calculator!CI$9)*10000)+Volatilities_Resets!$U59)),IF(CG70&gt;=CI$8,IF(CG70&lt;CJ$8,(((Volatilities_Resets!$U59-Volatilities_Resets!$S59)/50)*((Calculator!CG70-Calculator!CI$8)*10000)+Volatilities_Resets!$S59)),IF(CG70&gt;=CI$7,IF(CG70&lt;CJ$7,(((Volatilities_Resets!$S59-Volatilities_Resets!$Q59)/50)*((Calculator!CG70-Calculator!CI$7)*10000)+Volatilities_Resets!$Q59)),IF(CG70&gt;=CI$6,IF(CG70&lt;CJ$6,(((Volatilities_Resets!$Q59-Volatilities_Resets!$O59)/50)*((Calculator!CG70-Calculator!CI$6)*10000)+Volatilities_Resets!$O59)),IF(CG70&gt;=CI$5,IF(CG70&lt;CJ$5,(((Volatilities_Resets!$O59-Volatilities_Resets!$M59)/50)*((Calculator!CG70-Calculator!CI$5)*10000)+Volatilities_Resets!$M59)),IF(CG70&gt;=CI$4,IF(CG70&lt;CJ$4,(((Volatilities_Resets!$M59-Volatilities_Resets!$K59)/50)*((Calculator!CG70-Calculator!CI$4)*10000)+Volatilities_Resets!$K59)),IF(CG70&gt;=CI$3,IF(CG70&lt;CJ$3,(((Volatilities_Resets!$K59-Volatilities_Resets!$I59)/50)*((Calculator!CG70-Calculator!CI$3)*10000)+Volatilities_Resets!$I59)),IF(CG70&gt;=CI$2,IF(CG70&lt;CJ$2,(((Volatilities_Resets!$I59-Volatilities_Resets!$G59)/50)*((Calculator!CG70-Calculator!CI$2)*10000)+Volatilities_Resets!$G59)),"Well, something broke...")))))))))))/10000</f>
        <v>1.4463E-2</v>
      </c>
      <c r="CJ70" s="63">
        <f t="shared" ca="1" si="41"/>
        <v>7500.5739854250241</v>
      </c>
      <c r="CK70" s="63">
        <f t="shared" ca="1" si="42"/>
        <v>3.04619104884512E-4</v>
      </c>
      <c r="CL70" s="63">
        <f t="shared" ca="1" si="48"/>
        <v>239635.35002801914</v>
      </c>
      <c r="CO70" s="63">
        <f t="shared" ca="1" si="43"/>
        <v>93.921670102699437</v>
      </c>
      <c r="CP70" s="63">
        <f ca="1">SUM($CO$15:CO70)</f>
        <v>3663.5556409932742</v>
      </c>
      <c r="CR70" s="52">
        <f ca="1">EXP(-AVERAGE(CH$15:CH70)*CE70)</f>
        <v>0.81739510436828144</v>
      </c>
      <c r="CT70"/>
      <c r="CU70"/>
      <c r="CV70"/>
      <c r="CW70"/>
      <c r="CX70"/>
      <c r="CY70"/>
      <c r="CZ70"/>
      <c r="DA70"/>
      <c r="DB70"/>
      <c r="DC70"/>
      <c r="DD70"/>
      <c r="DE70"/>
      <c r="DF70"/>
      <c r="DG70"/>
      <c r="DH70"/>
      <c r="DI70"/>
      <c r="DJ70"/>
      <c r="DK70"/>
      <c r="DL70"/>
    </row>
    <row r="71" spans="2:116" ht="15.75" customHeight="1" x14ac:dyDescent="0.2">
      <c r="B71" s="52">
        <v>5</v>
      </c>
      <c r="C71" s="52">
        <f t="shared" ca="1" si="49"/>
        <v>57</v>
      </c>
      <c r="D71" s="71">
        <f t="shared" ca="1" si="16"/>
        <v>46895</v>
      </c>
      <c r="E71" s="71">
        <f t="shared" ca="1" si="50"/>
        <v>46926</v>
      </c>
      <c r="F71" s="72">
        <f t="shared" ca="1" si="51"/>
        <v>31</v>
      </c>
      <c r="G71" s="73">
        <f ca="1">SUM($F$15:F71)/360</f>
        <v>4.8194444444444446</v>
      </c>
      <c r="H71" s="74">
        <f t="shared" si="2"/>
        <v>25000000</v>
      </c>
      <c r="I71" s="59">
        <f>IF('Cap Pricer'!$E$22=DataValidation!$C$2,'Cap Pricer'!$E$23,IF('Cap Pricer'!$E$22=DataValidation!$C$3,VLOOKUP($B71,'Cap Pricer'!$C$25:$E$31,3),""))</f>
        <v>0.02</v>
      </c>
      <c r="J71" s="57">
        <f>Volatilities_Resets!$E60*0.01</f>
        <v>3.7599399999999998E-2</v>
      </c>
      <c r="K71" s="61">
        <f>IF(I71=L$11,Volatilities_Resets!$AA60,IF(I71&gt;=K$11,IF(I71&lt;L$11,(((Volatilities_Resets!$AA60-Volatilities_Resets!$Y60)/50)*((Calculator!I71-Calculator!K$11)*10000)+Volatilities_Resets!$Y60)),IF(I71&gt;=K$10,IF(I71&lt;L$10,(((Volatilities_Resets!$Y60-Volatilities_Resets!$W60)/50)*((Calculator!I71-Calculator!K$10)*10000)+Volatilities_Resets!$W60)),IF(I71&gt;=K$9,IF(I71&lt;L$9,(((Volatilities_Resets!$W60-Volatilities_Resets!$U60)/50)*((Calculator!I71-Calculator!K$9)*10000)+Volatilities_Resets!$U60)),IF(I71&gt;=K$8,IF(I71&lt;L$8,(((Volatilities_Resets!$U60-Volatilities_Resets!$S60)/50)*((Calculator!I71-Calculator!K$8)*10000)+Volatilities_Resets!$S60)),IF(I71&gt;=K$7,IF(I71&lt;L$7,(((Volatilities_Resets!$S60-Volatilities_Resets!$Q60)/50)*((Calculator!I71-Calculator!K$7)*10000)+Volatilities_Resets!$Q60)),IF(I71&gt;=K$6,IF(I71&lt;L$6,(((Volatilities_Resets!$Q60-Volatilities_Resets!$O60)/50)*((Calculator!I71-Calculator!K$6)*10000)+Volatilities_Resets!$O60)),IF(I71&gt;=K$5,IF(I71&lt;L$5,(((Volatilities_Resets!$O60-Volatilities_Resets!$M60)/50)*((Calculator!I71-Calculator!K$5)*10000)+Volatilities_Resets!$M60)),IF(I71&gt;=K$4,IF(I71&lt;L$4,(((Volatilities_Resets!$M60-Volatilities_Resets!$K60)/50)*((Calculator!I71-Calculator!K$4)*10000)+Volatilities_Resets!$K60)),IF(I71&gt;=K$3,IF(I71&lt;L$3,(((Volatilities_Resets!$K60-Volatilities_Resets!$I60)/50)*((Calculator!I71-Calculator!K$3)*10000)+Volatilities_Resets!$I60)),IF(I71&gt;=K$2,IF(I71&lt;L$2,(((Volatilities_Resets!$I60-Volatilities_Resets!$G60)/50)*((Calculator!I71-Calculator!K$2)*10000)+Volatilities_Resets!$G60)),"Well, something broke...")))))))))))/10000</f>
        <v>1.2423E-2</v>
      </c>
      <c r="L71" s="47">
        <f t="shared" ca="1" si="17"/>
        <v>38358.97644608486</v>
      </c>
      <c r="M71" s="63">
        <f t="shared" ca="1" si="18"/>
        <v>1.5393569300525042E-3</v>
      </c>
      <c r="N71" s="63">
        <f t="shared" ca="1" si="44"/>
        <v>2760497.7600034508</v>
      </c>
      <c r="Q71" s="63">
        <f t="shared" ca="1" si="19"/>
        <v>101.79997611544843</v>
      </c>
      <c r="R71" s="63">
        <f ca="1">SUM($Q$15:Q71)</f>
        <v>3792.9251423586079</v>
      </c>
      <c r="T71" s="52">
        <f ca="1">EXP(-AVERAGE(J$15:J71)*G71)</f>
        <v>0.81474653097288918</v>
      </c>
      <c r="U71" s="57"/>
      <c r="V71" s="52">
        <f t="shared" ca="1" si="20"/>
        <v>57</v>
      </c>
      <c r="W71" s="71">
        <f t="shared" ca="1" si="21"/>
        <v>46895</v>
      </c>
      <c r="X71" s="71">
        <f t="shared" ca="1" si="3"/>
        <v>46926</v>
      </c>
      <c r="Y71" s="72">
        <f t="shared" ca="1" si="4"/>
        <v>31</v>
      </c>
      <c r="Z71" s="73">
        <f ca="1">SUM(Y$15:Y71)/360</f>
        <v>4.8194444444444446</v>
      </c>
      <c r="AA71" s="74">
        <f t="shared" si="22"/>
        <v>25000000</v>
      </c>
      <c r="AB71" s="59">
        <f t="shared" si="23"/>
        <v>0.03</v>
      </c>
      <c r="AC71" s="57">
        <f>Volatilities_Resets!$E60*0.01</f>
        <v>3.7599399999999998E-2</v>
      </c>
      <c r="AD71" s="61">
        <f>IF(AB71=AE$11,Volatilities_Resets!$AA60,IF(AB71&gt;=AD$11,IF(AB71&lt;AE$11,(((Volatilities_Resets!$AA60-Volatilities_Resets!$Y60)/50)*((Calculator!AB71-Calculator!AD$11)*10000)+Volatilities_Resets!$Y60)),IF(AB71&gt;=AD$10,IF(AB71&lt;AE$10,(((Volatilities_Resets!$Y60-Volatilities_Resets!$W60)/50)*((Calculator!AB71-Calculator!AD$10)*10000)+Volatilities_Resets!$W60)),IF(AB71&gt;=AD$9,IF(AB71&lt;AE$9,(((Volatilities_Resets!$W60-Volatilities_Resets!$U60)/50)*((Calculator!AB71-Calculator!AD$9)*10000)+Volatilities_Resets!$U60)),IF(AB71&gt;=AD$8,IF(AB71&lt;AE$8,(((Volatilities_Resets!$U60-Volatilities_Resets!$S60)/50)*((Calculator!AB71-Calculator!AD$8)*10000)+Volatilities_Resets!$S60)),IF(AB71&gt;=AD$7,IF(AB71&lt;AE$7,(((Volatilities_Resets!$S60-Volatilities_Resets!$Q60)/50)*((Calculator!AB71-Calculator!AD$7)*10000)+Volatilities_Resets!$Q60)),IF(AB71&gt;=AD$6,IF(AB71&lt;AE$6,(((Volatilities_Resets!$Q60-Volatilities_Resets!$O60)/50)*((Calculator!AB71-Calculator!AD$6)*10000)+Volatilities_Resets!$O60)),IF(AB71&gt;=AD$5,IF(AB71&lt;AE$5,(((Volatilities_Resets!$O60-Volatilities_Resets!$M60)/50)*((Calculator!AB71-Calculator!AD$5)*10000)+Volatilities_Resets!$M60)),IF(AB71&gt;=AD$4,IF(AB71&lt;AE$4,(((Volatilities_Resets!$M60-Volatilities_Resets!$K60)/50)*((Calculator!AB71-Calculator!AD$4)*10000)+Volatilities_Resets!$K60)),IF(AB71&gt;=AD$3,IF(AB71&lt;AE$3,(((Volatilities_Resets!$K60-Volatilities_Resets!$I60)/50)*((Calculator!AB71-Calculator!AD$3)*10000)+Volatilities_Resets!$I60)),IF(AB71&gt;=AD$2,IF(AB71&lt;AE$2,(((Volatilities_Resets!$I60-Volatilities_Resets!$G60)/50)*((Calculator!AB71-Calculator!AD$2)*10000)+Volatilities_Resets!$G60)),"Well, something broke...")))))))))))/10000</f>
        <v>1.24E-2</v>
      </c>
      <c r="AE71" s="63">
        <f t="shared" ca="1" si="24"/>
        <v>26450.116121483752</v>
      </c>
      <c r="AF71" s="63">
        <f t="shared" ca="1" si="25"/>
        <v>1.0639162149579519E-3</v>
      </c>
      <c r="AG71" s="63">
        <f t="shared" ca="1" si="45"/>
        <v>1893862.6535571709</v>
      </c>
      <c r="AJ71" s="63">
        <f t="shared" ca="1" si="26"/>
        <v>120.41078076097044</v>
      </c>
      <c r="AK71" s="63">
        <f ca="1">SUM($AJ$15:AJ71)</f>
        <v>4655.7687613680928</v>
      </c>
      <c r="AM71" s="52">
        <f ca="1">EXP(-AVERAGE(AC$15:AC71)*Z71)</f>
        <v>0.81474653097288918</v>
      </c>
      <c r="AO71" s="52">
        <f t="shared" ca="1" si="27"/>
        <v>57</v>
      </c>
      <c r="AP71" s="71">
        <f t="shared" ca="1" si="28"/>
        <v>46895</v>
      </c>
      <c r="AQ71" s="71">
        <f t="shared" ca="1" si="5"/>
        <v>46926</v>
      </c>
      <c r="AR71" s="72">
        <f t="shared" ca="1" si="6"/>
        <v>31</v>
      </c>
      <c r="AS71" s="73">
        <f ca="1">SUM(AR$15:AR71)/360</f>
        <v>4.8194444444444446</v>
      </c>
      <c r="AT71" s="74">
        <f t="shared" si="7"/>
        <v>25000000</v>
      </c>
      <c r="AU71" s="59">
        <f t="shared" si="29"/>
        <v>0.04</v>
      </c>
      <c r="AV71" s="57">
        <f>Volatilities_Resets!$E60*0.01</f>
        <v>3.7599399999999998E-2</v>
      </c>
      <c r="AW71" s="61">
        <f>IF(AU71=AX$11,Volatilities_Resets!$AA60,IF(AU71&gt;=AW$11,IF(AU71&lt;AX$11,(((Volatilities_Resets!$AA60-Volatilities_Resets!$Y60)/50)*((Calculator!AU71-Calculator!AW$11)*10000)+Volatilities_Resets!$Y60)),IF(AU71&gt;=AW$10,IF(AU71&lt;AX$10,(((Volatilities_Resets!$Y60-Volatilities_Resets!$W60)/50)*((Calculator!AU71-Calculator!AW$10)*10000)+Volatilities_Resets!$W60)),IF(AU71&gt;=AW$9,IF(AU71&lt;AX$9,(((Volatilities_Resets!$W60-Volatilities_Resets!$U60)/50)*((Calculator!AU71-Calculator!AW$9)*10000)+Volatilities_Resets!$U60)),IF(AU71&gt;=AW$8,IF(AU71&lt;AX$8,(((Volatilities_Resets!$U60-Volatilities_Resets!$S60)/50)*((Calculator!AU71-Calculator!AW$8)*10000)+Volatilities_Resets!$S60)),IF(AU71&gt;=AW$7,IF(AU71&lt;AX$7,(((Volatilities_Resets!$S60-Volatilities_Resets!$Q60)/50)*((Calculator!AU71-Calculator!AW$7)*10000)+Volatilities_Resets!$Q60)),IF(AU71&gt;=AW$6,IF(AU71&lt;AX$6,(((Volatilities_Resets!$Q60-Volatilities_Resets!$O60)/50)*((Calculator!AU71-Calculator!AW$6)*10000)+Volatilities_Resets!$O60)),IF(AU71&gt;=AW$5,IF(AU71&lt;AX$5,(((Volatilities_Resets!$O60-Volatilities_Resets!$M60)/50)*((Calculator!AU71-Calculator!AW$5)*10000)+Volatilities_Resets!$M60)),IF(AU71&gt;=AW$4,IF(AU71&lt;AX$4,(((Volatilities_Resets!$M60-Volatilities_Resets!$K60)/50)*((Calculator!AU71-Calculator!AW$4)*10000)+Volatilities_Resets!$K60)),IF(AU71&gt;=AW$3,IF(AU71&lt;AX$3,(((Volatilities_Resets!$K60-Volatilities_Resets!$I60)/50)*((Calculator!AU71-Calculator!AW$3)*10000)+Volatilities_Resets!$I60)),IF(AU71&gt;=AW$2,IF(AU71&lt;AX$2,(((Volatilities_Resets!$I60-Volatilities_Resets!$G60)/50)*((Calculator!AU71-Calculator!AW$2)*10000)+Volatilities_Resets!$G60)),"Well, something broke...")))))))))))/10000</f>
        <v>1.2745000000000001E-2</v>
      </c>
      <c r="AX71" s="63">
        <f t="shared" ca="1" si="30"/>
        <v>17544.810026090989</v>
      </c>
      <c r="AY71" s="63">
        <f t="shared" ca="1" si="31"/>
        <v>7.079145542810962E-4</v>
      </c>
      <c r="AZ71" s="63">
        <f t="shared" ca="1" si="46"/>
        <v>1133721.2749493378</v>
      </c>
      <c r="BC71" s="63">
        <f t="shared" ca="1" si="8"/>
        <v>124.70007780755709</v>
      </c>
      <c r="BD71" s="63">
        <f ca="1">SUM($BC$15:BC71)</f>
        <v>5080.1992801078568</v>
      </c>
      <c r="BF71" s="52">
        <f ca="1">EXP(-AVERAGE(AV$15:AV71)*AS71)</f>
        <v>0.81474653097288918</v>
      </c>
      <c r="BH71" s="52">
        <f t="shared" ca="1" si="32"/>
        <v>57</v>
      </c>
      <c r="BI71" s="71">
        <f t="shared" ca="1" si="33"/>
        <v>46895</v>
      </c>
      <c r="BJ71" s="71">
        <f t="shared" ca="1" si="9"/>
        <v>46926</v>
      </c>
      <c r="BK71" s="72">
        <f t="shared" ca="1" si="10"/>
        <v>31</v>
      </c>
      <c r="BL71" s="73">
        <f ca="1">SUM(BK$15:BK71)/360</f>
        <v>4.8194444444444446</v>
      </c>
      <c r="BM71" s="74">
        <f t="shared" si="11"/>
        <v>25000000</v>
      </c>
      <c r="BN71" s="59">
        <f t="shared" si="34"/>
        <v>0.05</v>
      </c>
      <c r="BO71" s="57">
        <f>Volatilities_Resets!$E60*0.01</f>
        <v>3.7599399999999998E-2</v>
      </c>
      <c r="BP71" s="61">
        <f>IF(BN71=BQ$11,Volatilities_Resets!$AA60,IF(BN71&gt;=BP$11,IF(BN71&lt;BQ$11,(((Volatilities_Resets!$AA60-Volatilities_Resets!$Y60)/50)*((Calculator!BN71-Calculator!BP$11)*10000)+Volatilities_Resets!$Y60)),IF(BN71&gt;=BP$10,IF(BN71&lt;BQ$10,(((Volatilities_Resets!$Y60-Volatilities_Resets!$W60)/50)*((Calculator!BN71-Calculator!BP$10)*10000)+Volatilities_Resets!$W60)),IF(BN71&gt;=BP$9,IF(BN71&lt;BQ$9,(((Volatilities_Resets!$W60-Volatilities_Resets!$U60)/50)*((Calculator!BN71-Calculator!BP$9)*10000)+Volatilities_Resets!$U60)),IF(BN71&gt;=BP$8,IF(BN71&lt;BQ$8,(((Volatilities_Resets!$U60-Volatilities_Resets!$S60)/50)*((Calculator!BN71-Calculator!BP$8)*10000)+Volatilities_Resets!$S60)),IF(BN71&gt;=BP$7,IF(BN71&lt;BQ$7,(((Volatilities_Resets!$S60-Volatilities_Resets!$Q60)/50)*((Calculator!BN71-Calculator!BP$7)*10000)+Volatilities_Resets!$Q60)),IF(BN71&gt;=BP$6,IF(BN71&lt;BQ$6,(((Volatilities_Resets!$Q60-Volatilities_Resets!$O60)/50)*((Calculator!BN71-Calculator!BP$6)*10000)+Volatilities_Resets!$O60)),IF(BN71&gt;=BP$5,IF(BN71&lt;BQ$5,(((Volatilities_Resets!$O60-Volatilities_Resets!$M60)/50)*((Calculator!BN71-Calculator!BP$5)*10000)+Volatilities_Resets!$M60)),IF(BN71&gt;=BP$4,IF(BN71&lt;BQ$4,(((Volatilities_Resets!$M60-Volatilities_Resets!$K60)/50)*((Calculator!BN71-Calculator!BP$4)*10000)+Volatilities_Resets!$K60)),IF(BN71&gt;=BP$3,IF(BN71&lt;BQ$3,(((Volatilities_Resets!$K60-Volatilities_Resets!$I60)/50)*((Calculator!BN71-Calculator!BP$3)*10000)+Volatilities_Resets!$I60)),IF(BN71&gt;=BP$2,IF(BN71&lt;BQ$2,(((Volatilities_Resets!$I60-Volatilities_Resets!$G60)/50)*((Calculator!BN71-Calculator!BP$2)*10000)+Volatilities_Resets!$G60)),"Well, something broke...")))))))))))/10000</f>
        <v>1.3462999999999999E-2</v>
      </c>
      <c r="BQ71" s="63">
        <f t="shared" ca="1" si="35"/>
        <v>11599.97425162597</v>
      </c>
      <c r="BR71" s="63">
        <f t="shared" ca="1" si="36"/>
        <v>4.6962945916682999E-4</v>
      </c>
      <c r="BS71" s="63">
        <f t="shared" ca="1" si="47"/>
        <v>550779.41544253274</v>
      </c>
      <c r="BV71" s="63">
        <f t="shared" ca="1" si="37"/>
        <v>114.68553658412594</v>
      </c>
      <c r="BW71" s="63">
        <f ca="1">SUM($BV$15:BV71)</f>
        <v>4961.3213045179655</v>
      </c>
      <c r="BY71" s="52">
        <f ca="1">EXP(-AVERAGE(BO$15:BO71)*BL71)</f>
        <v>0.81474653097288918</v>
      </c>
      <c r="CA71" s="52">
        <f t="shared" ca="1" si="38"/>
        <v>57</v>
      </c>
      <c r="CB71" s="71">
        <f t="shared" ca="1" si="39"/>
        <v>46895</v>
      </c>
      <c r="CC71" s="71">
        <f t="shared" ca="1" si="12"/>
        <v>46926</v>
      </c>
      <c r="CD71" s="72">
        <f t="shared" ca="1" si="13"/>
        <v>31</v>
      </c>
      <c r="CE71" s="73">
        <f ca="1">SUM(CD$15:CD71)/360</f>
        <v>4.8194444444444446</v>
      </c>
      <c r="CF71" s="74">
        <f t="shared" si="14"/>
        <v>25000000</v>
      </c>
      <c r="CG71" s="59">
        <f t="shared" si="40"/>
        <v>0.06</v>
      </c>
      <c r="CH71" s="57">
        <f>Volatilities_Resets!$E60*0.01</f>
        <v>3.7599399999999998E-2</v>
      </c>
      <c r="CI71" s="61">
        <f>IF(CG71=CJ$11,Volatilities_Resets!$AA60,IF(CG71&gt;=CI$11,IF(CG71&lt;CJ$11,(((Volatilities_Resets!$AA60-Volatilities_Resets!$Y60)/50)*((Calculator!CG71-Calculator!CI$11)*10000)+Volatilities_Resets!$Y60)),IF(CG71&gt;=CI$10,IF(CG71&lt;CJ$10,(((Volatilities_Resets!$Y60-Volatilities_Resets!$W60)/50)*((Calculator!CG71-Calculator!CI$10)*10000)+Volatilities_Resets!$W60)),IF(CG71&gt;=CI$9,IF(CG71&lt;CJ$9,(((Volatilities_Resets!$W60-Volatilities_Resets!$U60)/50)*((Calculator!CG71-Calculator!CI$9)*10000)+Volatilities_Resets!$U60)),IF(CG71&gt;=CI$8,IF(CG71&lt;CJ$8,(((Volatilities_Resets!$U60-Volatilities_Resets!$S60)/50)*((Calculator!CG71-Calculator!CI$8)*10000)+Volatilities_Resets!$S60)),IF(CG71&gt;=CI$7,IF(CG71&lt;CJ$7,(((Volatilities_Resets!$S60-Volatilities_Resets!$Q60)/50)*((Calculator!CG71-Calculator!CI$7)*10000)+Volatilities_Resets!$Q60)),IF(CG71&gt;=CI$6,IF(CG71&lt;CJ$6,(((Volatilities_Resets!$Q60-Volatilities_Resets!$O60)/50)*((Calculator!CG71-Calculator!CI$6)*10000)+Volatilities_Resets!$O60)),IF(CG71&gt;=CI$5,IF(CG71&lt;CJ$5,(((Volatilities_Resets!$O60-Volatilities_Resets!$M60)/50)*((Calculator!CG71-Calculator!CI$5)*10000)+Volatilities_Resets!$M60)),IF(CG71&gt;=CI$4,IF(CG71&lt;CJ$4,(((Volatilities_Resets!$M60-Volatilities_Resets!$K60)/50)*((Calculator!CG71-Calculator!CI$4)*10000)+Volatilities_Resets!$K60)),IF(CG71&gt;=CI$3,IF(CG71&lt;CJ$3,(((Volatilities_Resets!$K60-Volatilities_Resets!$I60)/50)*((Calculator!CG71-Calculator!CI$3)*10000)+Volatilities_Resets!$I60)),IF(CG71&gt;=CI$2,IF(CG71&lt;CJ$2,(((Volatilities_Resets!$I60-Volatilities_Resets!$G60)/50)*((Calculator!CG71-Calculator!CI$2)*10000)+Volatilities_Resets!$G60)),"Well, something broke...")))))))))))/10000</f>
        <v>1.4463E-2</v>
      </c>
      <c r="CJ71" s="63">
        <f t="shared" ca="1" si="41"/>
        <v>7883.0028103686927</v>
      </c>
      <c r="CK71" s="63">
        <f t="shared" ca="1" si="42"/>
        <v>3.2011909353446896E-4</v>
      </c>
      <c r="CL71" s="63">
        <f t="shared" ca="1" si="48"/>
        <v>247518.35283838783</v>
      </c>
      <c r="CO71" s="63">
        <f t="shared" ca="1" si="43"/>
        <v>97.748830487432002</v>
      </c>
      <c r="CP71" s="63">
        <f ca="1">SUM($CO$15:CO71)</f>
        <v>3761.3044714807061</v>
      </c>
      <c r="CR71" s="52">
        <f ca="1">EXP(-AVERAGE(CH$15:CH71)*CE71)</f>
        <v>0.81474653097288918</v>
      </c>
      <c r="CT71"/>
      <c r="CU71"/>
      <c r="CV71"/>
      <c r="CW71"/>
      <c r="CX71"/>
      <c r="CY71"/>
      <c r="CZ71"/>
      <c r="DA71"/>
      <c r="DB71"/>
      <c r="DC71"/>
      <c r="DD71"/>
      <c r="DE71"/>
      <c r="DF71"/>
      <c r="DG71"/>
      <c r="DH71"/>
      <c r="DI71"/>
      <c r="DJ71"/>
      <c r="DK71"/>
      <c r="DL71"/>
    </row>
    <row r="72" spans="2:116" ht="15.75" customHeight="1" x14ac:dyDescent="0.2">
      <c r="B72" s="52">
        <v>5</v>
      </c>
      <c r="C72" s="52">
        <f t="shared" ca="1" si="49"/>
        <v>58</v>
      </c>
      <c r="D72" s="71">
        <f t="shared" ca="1" si="16"/>
        <v>46926</v>
      </c>
      <c r="E72" s="71">
        <f t="shared" ca="1" si="50"/>
        <v>46956</v>
      </c>
      <c r="F72" s="72">
        <f t="shared" ca="1" si="51"/>
        <v>30</v>
      </c>
      <c r="G72" s="73">
        <f ca="1">SUM($F$15:F72)/360</f>
        <v>4.9027777777777777</v>
      </c>
      <c r="H72" s="74">
        <f t="shared" si="2"/>
        <v>25000000</v>
      </c>
      <c r="I72" s="59">
        <f>IF('Cap Pricer'!$E$22=DataValidation!$C$2,'Cap Pricer'!$E$23,IF('Cap Pricer'!$E$22=DataValidation!$C$3,VLOOKUP($B72,'Cap Pricer'!$C$25:$E$31,3),""))</f>
        <v>0.02</v>
      </c>
      <c r="J72" s="57">
        <f>Volatilities_Resets!$E61*0.01</f>
        <v>3.7593599999999998E-2</v>
      </c>
      <c r="K72" s="61">
        <f>IF(I72=L$11,Volatilities_Resets!$AA61,IF(I72&gt;=K$11,IF(I72&lt;L$11,(((Volatilities_Resets!$AA61-Volatilities_Resets!$Y61)/50)*((Calculator!I72-Calculator!K$11)*10000)+Volatilities_Resets!$Y61)),IF(I72&gt;=K$10,IF(I72&lt;L$10,(((Volatilities_Resets!$Y61-Volatilities_Resets!$W61)/50)*((Calculator!I72-Calculator!K$10)*10000)+Volatilities_Resets!$W61)),IF(I72&gt;=K$9,IF(I72&lt;L$9,(((Volatilities_Resets!$W61-Volatilities_Resets!$U61)/50)*((Calculator!I72-Calculator!K$9)*10000)+Volatilities_Resets!$U61)),IF(I72&gt;=K$8,IF(I72&lt;L$8,(((Volatilities_Resets!$U61-Volatilities_Resets!$S61)/50)*((Calculator!I72-Calculator!K$8)*10000)+Volatilities_Resets!$S61)),IF(I72&gt;=K$7,IF(I72&lt;L$7,(((Volatilities_Resets!$S61-Volatilities_Resets!$Q61)/50)*((Calculator!I72-Calculator!K$7)*10000)+Volatilities_Resets!$Q61)),IF(I72&gt;=K$6,IF(I72&lt;L$6,(((Volatilities_Resets!$Q61-Volatilities_Resets!$O61)/50)*((Calculator!I72-Calculator!K$6)*10000)+Volatilities_Resets!$O61)),IF(I72&gt;=K$5,IF(I72&lt;L$5,(((Volatilities_Resets!$O61-Volatilities_Resets!$M61)/50)*((Calculator!I72-Calculator!K$5)*10000)+Volatilities_Resets!$M61)),IF(I72&gt;=K$4,IF(I72&lt;L$4,(((Volatilities_Resets!$M61-Volatilities_Resets!$K61)/50)*((Calculator!I72-Calculator!K$4)*10000)+Volatilities_Resets!$K61)),IF(I72&gt;=K$3,IF(I72&lt;L$3,(((Volatilities_Resets!$K61-Volatilities_Resets!$I61)/50)*((Calculator!I72-Calculator!K$3)*10000)+Volatilities_Resets!$I61)),IF(I72&gt;=K$2,IF(I72&lt;L$2,(((Volatilities_Resets!$I61-Volatilities_Resets!$G61)/50)*((Calculator!I72-Calculator!K$2)*10000)+Volatilities_Resets!$G61)),"Well, something broke...")))))))))))/10000</f>
        <v>1.2423E-2</v>
      </c>
      <c r="L72" s="47">
        <f t="shared" ca="1" si="17"/>
        <v>37127.36730026867</v>
      </c>
      <c r="M72" s="63">
        <f t="shared" ca="1" si="18"/>
        <v>1.4899755049521412E-3</v>
      </c>
      <c r="N72" s="63">
        <f t="shared" ca="1" si="44"/>
        <v>2797625.1273037195</v>
      </c>
      <c r="Q72" s="63">
        <f t="shared" ca="1" si="19"/>
        <v>99.105256821382127</v>
      </c>
      <c r="R72" s="63">
        <f ca="1">SUM($Q$15:Q72)</f>
        <v>3892.0303991799901</v>
      </c>
      <c r="T72" s="52">
        <f ca="1">EXP(-AVERAGE(J$15:J72)*G72)</f>
        <v>0.81220286875463632</v>
      </c>
      <c r="U72" s="57"/>
      <c r="V72" s="52">
        <f t="shared" ca="1" si="20"/>
        <v>58</v>
      </c>
      <c r="W72" s="71">
        <f t="shared" ca="1" si="21"/>
        <v>46926</v>
      </c>
      <c r="X72" s="71">
        <f t="shared" ca="1" si="3"/>
        <v>46956</v>
      </c>
      <c r="Y72" s="72">
        <f t="shared" ca="1" si="4"/>
        <v>30</v>
      </c>
      <c r="Z72" s="73">
        <f ca="1">SUM(Y$15:Y72)/360</f>
        <v>4.9027777777777777</v>
      </c>
      <c r="AA72" s="74">
        <f t="shared" si="22"/>
        <v>25000000</v>
      </c>
      <c r="AB72" s="59">
        <f t="shared" si="23"/>
        <v>0.03</v>
      </c>
      <c r="AC72" s="57">
        <f>Volatilities_Resets!$E61*0.01</f>
        <v>3.7593599999999998E-2</v>
      </c>
      <c r="AD72" s="61">
        <f>IF(AB72=AE$11,Volatilities_Resets!$AA61,IF(AB72&gt;=AD$11,IF(AB72&lt;AE$11,(((Volatilities_Resets!$AA61-Volatilities_Resets!$Y61)/50)*((Calculator!AB72-Calculator!AD$11)*10000)+Volatilities_Resets!$Y61)),IF(AB72&gt;=AD$10,IF(AB72&lt;AE$10,(((Volatilities_Resets!$Y61-Volatilities_Resets!$W61)/50)*((Calculator!AB72-Calculator!AD$10)*10000)+Volatilities_Resets!$W61)),IF(AB72&gt;=AD$9,IF(AB72&lt;AE$9,(((Volatilities_Resets!$W61-Volatilities_Resets!$U61)/50)*((Calculator!AB72-Calculator!AD$9)*10000)+Volatilities_Resets!$U61)),IF(AB72&gt;=AD$8,IF(AB72&lt;AE$8,(((Volatilities_Resets!$U61-Volatilities_Resets!$S61)/50)*((Calculator!AB72-Calculator!AD$8)*10000)+Volatilities_Resets!$S61)),IF(AB72&gt;=AD$7,IF(AB72&lt;AE$7,(((Volatilities_Resets!$S61-Volatilities_Resets!$Q61)/50)*((Calculator!AB72-Calculator!AD$7)*10000)+Volatilities_Resets!$Q61)),IF(AB72&gt;=AD$6,IF(AB72&lt;AE$6,(((Volatilities_Resets!$Q61-Volatilities_Resets!$O61)/50)*((Calculator!AB72-Calculator!AD$6)*10000)+Volatilities_Resets!$O61)),IF(AB72&gt;=AD$5,IF(AB72&lt;AE$5,(((Volatilities_Resets!$O61-Volatilities_Resets!$M61)/50)*((Calculator!AB72-Calculator!AD$5)*10000)+Volatilities_Resets!$M61)),IF(AB72&gt;=AD$4,IF(AB72&lt;AE$4,(((Volatilities_Resets!$M61-Volatilities_Resets!$K61)/50)*((Calculator!AB72-Calculator!AD$4)*10000)+Volatilities_Resets!$K61)),IF(AB72&gt;=AD$3,IF(AB72&lt;AE$3,(((Volatilities_Resets!$K61-Volatilities_Resets!$I61)/50)*((Calculator!AB72-Calculator!AD$3)*10000)+Volatilities_Resets!$I61)),IF(AB72&gt;=AD$2,IF(AB72&lt;AE$2,(((Volatilities_Resets!$I61-Volatilities_Resets!$G61)/50)*((Calculator!AB72-Calculator!AD$2)*10000)+Volatilities_Resets!$G61)),"Well, something broke...")))))))))))/10000</f>
        <v>1.2401000000000001E-2</v>
      </c>
      <c r="AE72" s="63">
        <f t="shared" ca="1" si="24"/>
        <v>25664.629753336321</v>
      </c>
      <c r="AF72" s="63">
        <f t="shared" ca="1" si="25"/>
        <v>1.0323414472433838E-3</v>
      </c>
      <c r="AG72" s="63">
        <f t="shared" ca="1" si="45"/>
        <v>1919527.2833105072</v>
      </c>
      <c r="AJ72" s="63">
        <f t="shared" ca="1" si="26"/>
        <v>116.8812134493806</v>
      </c>
      <c r="AK72" s="63">
        <f ca="1">SUM($AJ$15:AJ72)</f>
        <v>4772.6499748174738</v>
      </c>
      <c r="AM72" s="52">
        <f ca="1">EXP(-AVERAGE(AC$15:AC72)*Z72)</f>
        <v>0.81220286875463632</v>
      </c>
      <c r="AO72" s="52">
        <f t="shared" ca="1" si="27"/>
        <v>58</v>
      </c>
      <c r="AP72" s="71">
        <f t="shared" ca="1" si="28"/>
        <v>46926</v>
      </c>
      <c r="AQ72" s="71">
        <f t="shared" ca="1" si="5"/>
        <v>46956</v>
      </c>
      <c r="AR72" s="72">
        <f t="shared" ca="1" si="6"/>
        <v>30</v>
      </c>
      <c r="AS72" s="73">
        <f ca="1">SUM(AR$15:AR72)/360</f>
        <v>4.9027777777777777</v>
      </c>
      <c r="AT72" s="74">
        <f t="shared" si="7"/>
        <v>25000000</v>
      </c>
      <c r="AU72" s="59">
        <f t="shared" si="29"/>
        <v>0.04</v>
      </c>
      <c r="AV72" s="57">
        <f>Volatilities_Resets!$E61*0.01</f>
        <v>3.7593599999999998E-2</v>
      </c>
      <c r="AW72" s="61">
        <f>IF(AU72=AX$11,Volatilities_Resets!$AA61,IF(AU72&gt;=AW$11,IF(AU72&lt;AX$11,(((Volatilities_Resets!$AA61-Volatilities_Resets!$Y61)/50)*((Calculator!AU72-Calculator!AW$11)*10000)+Volatilities_Resets!$Y61)),IF(AU72&gt;=AW$10,IF(AU72&lt;AX$10,(((Volatilities_Resets!$Y61-Volatilities_Resets!$W61)/50)*((Calculator!AU72-Calculator!AW$10)*10000)+Volatilities_Resets!$W61)),IF(AU72&gt;=AW$9,IF(AU72&lt;AX$9,(((Volatilities_Resets!$W61-Volatilities_Resets!$U61)/50)*((Calculator!AU72-Calculator!AW$9)*10000)+Volatilities_Resets!$U61)),IF(AU72&gt;=AW$8,IF(AU72&lt;AX$8,(((Volatilities_Resets!$U61-Volatilities_Resets!$S61)/50)*((Calculator!AU72-Calculator!AW$8)*10000)+Volatilities_Resets!$S61)),IF(AU72&gt;=AW$7,IF(AU72&lt;AX$7,(((Volatilities_Resets!$S61-Volatilities_Resets!$Q61)/50)*((Calculator!AU72-Calculator!AW$7)*10000)+Volatilities_Resets!$Q61)),IF(AU72&gt;=AW$6,IF(AU72&lt;AX$6,(((Volatilities_Resets!$Q61-Volatilities_Resets!$O61)/50)*((Calculator!AU72-Calculator!AW$6)*10000)+Volatilities_Resets!$O61)),IF(AU72&gt;=AW$5,IF(AU72&lt;AX$5,(((Volatilities_Resets!$O61-Volatilities_Resets!$M61)/50)*((Calculator!AU72-Calculator!AW$5)*10000)+Volatilities_Resets!$M61)),IF(AU72&gt;=AW$4,IF(AU72&lt;AX$4,(((Volatilities_Resets!$M61-Volatilities_Resets!$K61)/50)*((Calculator!AU72-Calculator!AW$4)*10000)+Volatilities_Resets!$K61)),IF(AU72&gt;=AW$3,IF(AU72&lt;AX$3,(((Volatilities_Resets!$K61-Volatilities_Resets!$I61)/50)*((Calculator!AU72-Calculator!AW$3)*10000)+Volatilities_Resets!$I61)),IF(AU72&gt;=AW$2,IF(AU72&lt;AX$2,(((Volatilities_Resets!$I61-Volatilities_Resets!$G61)/50)*((Calculator!AU72-Calculator!AW$2)*10000)+Volatilities_Resets!$G61)),"Well, something broke...")))))))))))/10000</f>
        <v>1.2745000000000001E-2</v>
      </c>
      <c r="AX72" s="63">
        <f t="shared" ca="1" si="30"/>
        <v>17083.265311217707</v>
      </c>
      <c r="AY72" s="63">
        <f t="shared" ca="1" si="31"/>
        <v>6.8928788934715019E-4</v>
      </c>
      <c r="AZ72" s="63">
        <f t="shared" ca="1" si="46"/>
        <v>1150804.5402605555</v>
      </c>
      <c r="BC72" s="63">
        <f t="shared" ca="1" si="8"/>
        <v>120.9629346720059</v>
      </c>
      <c r="BD72" s="63">
        <f ca="1">SUM($BC$15:BC72)</f>
        <v>5201.1622147798626</v>
      </c>
      <c r="BF72" s="52">
        <f ca="1">EXP(-AVERAGE(AV$15:AV72)*AS72)</f>
        <v>0.81220286875463632</v>
      </c>
      <c r="BH72" s="52">
        <f t="shared" ca="1" si="32"/>
        <v>58</v>
      </c>
      <c r="BI72" s="71">
        <f t="shared" ca="1" si="33"/>
        <v>46926</v>
      </c>
      <c r="BJ72" s="71">
        <f t="shared" ca="1" si="9"/>
        <v>46956</v>
      </c>
      <c r="BK72" s="72">
        <f t="shared" ca="1" si="10"/>
        <v>30</v>
      </c>
      <c r="BL72" s="73">
        <f ca="1">SUM(BK$15:BK72)/360</f>
        <v>4.9027777777777777</v>
      </c>
      <c r="BM72" s="74">
        <f t="shared" si="11"/>
        <v>25000000</v>
      </c>
      <c r="BN72" s="59">
        <f t="shared" si="34"/>
        <v>0.05</v>
      </c>
      <c r="BO72" s="57">
        <f>Volatilities_Resets!$E61*0.01</f>
        <v>3.7593599999999998E-2</v>
      </c>
      <c r="BP72" s="61">
        <f>IF(BN72=BQ$11,Volatilities_Resets!$AA61,IF(BN72&gt;=BP$11,IF(BN72&lt;BQ$11,(((Volatilities_Resets!$AA61-Volatilities_Resets!$Y61)/50)*((Calculator!BN72-Calculator!BP$11)*10000)+Volatilities_Resets!$Y61)),IF(BN72&gt;=BP$10,IF(BN72&lt;BQ$10,(((Volatilities_Resets!$Y61-Volatilities_Resets!$W61)/50)*((Calculator!BN72-Calculator!BP$10)*10000)+Volatilities_Resets!$W61)),IF(BN72&gt;=BP$9,IF(BN72&lt;BQ$9,(((Volatilities_Resets!$W61-Volatilities_Resets!$U61)/50)*((Calculator!BN72-Calculator!BP$9)*10000)+Volatilities_Resets!$U61)),IF(BN72&gt;=BP$8,IF(BN72&lt;BQ$8,(((Volatilities_Resets!$U61-Volatilities_Resets!$S61)/50)*((Calculator!BN72-Calculator!BP$8)*10000)+Volatilities_Resets!$S61)),IF(BN72&gt;=BP$7,IF(BN72&lt;BQ$7,(((Volatilities_Resets!$S61-Volatilities_Resets!$Q61)/50)*((Calculator!BN72-Calculator!BP$7)*10000)+Volatilities_Resets!$Q61)),IF(BN72&gt;=BP$6,IF(BN72&lt;BQ$6,(((Volatilities_Resets!$Q61-Volatilities_Resets!$O61)/50)*((Calculator!BN72-Calculator!BP$6)*10000)+Volatilities_Resets!$O61)),IF(BN72&gt;=BP$5,IF(BN72&lt;BQ$5,(((Volatilities_Resets!$O61-Volatilities_Resets!$M61)/50)*((Calculator!BN72-Calculator!BP$5)*10000)+Volatilities_Resets!$M61)),IF(BN72&gt;=BP$4,IF(BN72&lt;BQ$4,(((Volatilities_Resets!$M61-Volatilities_Resets!$K61)/50)*((Calculator!BN72-Calculator!BP$4)*10000)+Volatilities_Resets!$K61)),IF(BN72&gt;=BP$3,IF(BN72&lt;BQ$3,(((Volatilities_Resets!$K61-Volatilities_Resets!$I61)/50)*((Calculator!BN72-Calculator!BP$3)*10000)+Volatilities_Resets!$I61)),IF(BN72&gt;=BP$2,IF(BN72&lt;BQ$2,(((Volatilities_Resets!$I61-Volatilities_Resets!$G61)/50)*((Calculator!BN72-Calculator!BP$2)*10000)+Volatilities_Resets!$G61)),"Well, something broke...")))))))))))/10000</f>
        <v>1.3462999999999999E-2</v>
      </c>
      <c r="BQ72" s="63">
        <f t="shared" ca="1" si="35"/>
        <v>11344.808980510979</v>
      </c>
      <c r="BR72" s="63">
        <f t="shared" ca="1" si="36"/>
        <v>4.5927866918600774E-4</v>
      </c>
      <c r="BS72" s="63">
        <f t="shared" ca="1" si="47"/>
        <v>562124.22442304378</v>
      </c>
      <c r="BV72" s="63">
        <f t="shared" ca="1" si="37"/>
        <v>111.39991732279893</v>
      </c>
      <c r="BW72" s="63">
        <f ca="1">SUM($BV$15:BV72)</f>
        <v>5072.721221840764</v>
      </c>
      <c r="BY72" s="52">
        <f ca="1">EXP(-AVERAGE(BO$15:BO72)*BL72)</f>
        <v>0.81220286875463632</v>
      </c>
      <c r="CA72" s="52">
        <f t="shared" ca="1" si="38"/>
        <v>58</v>
      </c>
      <c r="CB72" s="71">
        <f t="shared" ca="1" si="39"/>
        <v>46926</v>
      </c>
      <c r="CC72" s="71">
        <f t="shared" ca="1" si="12"/>
        <v>46956</v>
      </c>
      <c r="CD72" s="72">
        <f t="shared" ca="1" si="13"/>
        <v>30</v>
      </c>
      <c r="CE72" s="73">
        <f ca="1">SUM(CD$15:CD72)/360</f>
        <v>4.9027777777777777</v>
      </c>
      <c r="CF72" s="74">
        <f t="shared" si="14"/>
        <v>25000000</v>
      </c>
      <c r="CG72" s="59">
        <f t="shared" si="40"/>
        <v>0.06</v>
      </c>
      <c r="CH72" s="57">
        <f>Volatilities_Resets!$E61*0.01</f>
        <v>3.7593599999999998E-2</v>
      </c>
      <c r="CI72" s="61">
        <f>IF(CG72=CJ$11,Volatilities_Resets!$AA61,IF(CG72&gt;=CI$11,IF(CG72&lt;CJ$11,(((Volatilities_Resets!$AA61-Volatilities_Resets!$Y61)/50)*((Calculator!CG72-Calculator!CI$11)*10000)+Volatilities_Resets!$Y61)),IF(CG72&gt;=CI$10,IF(CG72&lt;CJ$10,(((Volatilities_Resets!$Y61-Volatilities_Resets!$W61)/50)*((Calculator!CG72-Calculator!CI$10)*10000)+Volatilities_Resets!$W61)),IF(CG72&gt;=CI$9,IF(CG72&lt;CJ$9,(((Volatilities_Resets!$W61-Volatilities_Resets!$U61)/50)*((Calculator!CG72-Calculator!CI$9)*10000)+Volatilities_Resets!$U61)),IF(CG72&gt;=CI$8,IF(CG72&lt;CJ$8,(((Volatilities_Resets!$U61-Volatilities_Resets!$S61)/50)*((Calculator!CG72-Calculator!CI$8)*10000)+Volatilities_Resets!$S61)),IF(CG72&gt;=CI$7,IF(CG72&lt;CJ$7,(((Volatilities_Resets!$S61-Volatilities_Resets!$Q61)/50)*((Calculator!CG72-Calculator!CI$7)*10000)+Volatilities_Resets!$Q61)),IF(CG72&gt;=CI$6,IF(CG72&lt;CJ$6,(((Volatilities_Resets!$Q61-Volatilities_Resets!$O61)/50)*((Calculator!CG72-Calculator!CI$6)*10000)+Volatilities_Resets!$O61)),IF(CG72&gt;=CI$5,IF(CG72&lt;CJ$5,(((Volatilities_Resets!$O61-Volatilities_Resets!$M61)/50)*((Calculator!CG72-Calculator!CI$5)*10000)+Volatilities_Resets!$M61)),IF(CG72&gt;=CI$4,IF(CG72&lt;CJ$4,(((Volatilities_Resets!$M61-Volatilities_Resets!$K61)/50)*((Calculator!CG72-Calculator!CI$4)*10000)+Volatilities_Resets!$K61)),IF(CG72&gt;=CI$3,IF(CG72&lt;CJ$3,(((Volatilities_Resets!$K61-Volatilities_Resets!$I61)/50)*((Calculator!CG72-Calculator!CI$3)*10000)+Volatilities_Resets!$I61)),IF(CG72&gt;=CI$2,IF(CG72&lt;CJ$2,(((Volatilities_Resets!$I61-Volatilities_Resets!$G61)/50)*((Calculator!CG72-Calculator!CI$2)*10000)+Volatilities_Resets!$G61)),"Well, something broke...")))))))))))/10000</f>
        <v>1.4463E-2</v>
      </c>
      <c r="CJ72" s="63">
        <f t="shared" ca="1" si="41"/>
        <v>7746.6830806278367</v>
      </c>
      <c r="CK72" s="63">
        <f t="shared" ca="1" si="42"/>
        <v>3.1455592191411303E-4</v>
      </c>
      <c r="CL72" s="63">
        <f t="shared" ca="1" si="48"/>
        <v>255265.03591901567</v>
      </c>
      <c r="CO72" s="63">
        <f t="shared" ca="1" si="43"/>
        <v>95.20233264111674</v>
      </c>
      <c r="CP72" s="63">
        <f ca="1">SUM($CO$15:CO72)</f>
        <v>3856.5068041218228</v>
      </c>
      <c r="CR72" s="52">
        <f ca="1">EXP(-AVERAGE(CH$15:CH72)*CE72)</f>
        <v>0.81220286875463632</v>
      </c>
      <c r="CT72"/>
      <c r="CU72"/>
      <c r="CV72"/>
      <c r="CW72"/>
      <c r="CX72"/>
      <c r="CY72"/>
      <c r="CZ72"/>
      <c r="DA72"/>
      <c r="DB72"/>
      <c r="DC72"/>
      <c r="DD72"/>
      <c r="DE72"/>
      <c r="DF72"/>
      <c r="DG72"/>
      <c r="DH72"/>
      <c r="DI72"/>
      <c r="DJ72"/>
      <c r="DK72"/>
      <c r="DL72"/>
    </row>
    <row r="73" spans="2:116" ht="15.75" customHeight="1" x14ac:dyDescent="0.2">
      <c r="B73" s="52">
        <v>5</v>
      </c>
      <c r="C73" s="52">
        <f t="shared" ca="1" si="49"/>
        <v>59</v>
      </c>
      <c r="D73" s="71">
        <f t="shared" ca="1" si="16"/>
        <v>46956</v>
      </c>
      <c r="E73" s="71">
        <f t="shared" ca="1" si="50"/>
        <v>46987</v>
      </c>
      <c r="F73" s="72">
        <f t="shared" ca="1" si="51"/>
        <v>31</v>
      </c>
      <c r="G73" s="73">
        <f ca="1">SUM($F$15:F73)/360</f>
        <v>4.9888888888888889</v>
      </c>
      <c r="H73" s="74">
        <f t="shared" si="2"/>
        <v>25000000</v>
      </c>
      <c r="I73" s="59">
        <f>IF('Cap Pricer'!$E$22=DataValidation!$C$2,'Cap Pricer'!$E$23,IF('Cap Pricer'!$E$22=DataValidation!$C$3,VLOOKUP($B73,'Cap Pricer'!$C$25:$E$31,3),""))</f>
        <v>0.02</v>
      </c>
      <c r="J73" s="57">
        <f>Volatilities_Resets!$E62*0.01</f>
        <v>3.7599399999999998E-2</v>
      </c>
      <c r="K73" s="61">
        <f>IF(I73=L$11,Volatilities_Resets!$AA62,IF(I73&gt;=K$11,IF(I73&lt;L$11,(((Volatilities_Resets!$AA62-Volatilities_Resets!$Y62)/50)*((Calculator!I73-Calculator!K$11)*10000)+Volatilities_Resets!$Y62)),IF(I73&gt;=K$10,IF(I73&lt;L$10,(((Volatilities_Resets!$Y62-Volatilities_Resets!$W62)/50)*((Calculator!I73-Calculator!K$10)*10000)+Volatilities_Resets!$W62)),IF(I73&gt;=K$9,IF(I73&lt;L$9,(((Volatilities_Resets!$W62-Volatilities_Resets!$U62)/50)*((Calculator!I73-Calculator!K$9)*10000)+Volatilities_Resets!$U62)),IF(I73&gt;=K$8,IF(I73&lt;L$8,(((Volatilities_Resets!$U62-Volatilities_Resets!$S62)/50)*((Calculator!I73-Calculator!K$8)*10000)+Volatilities_Resets!$S62)),IF(I73&gt;=K$7,IF(I73&lt;L$7,(((Volatilities_Resets!$S62-Volatilities_Resets!$Q62)/50)*((Calculator!I73-Calculator!K$7)*10000)+Volatilities_Resets!$Q62)),IF(I73&gt;=K$6,IF(I73&lt;L$6,(((Volatilities_Resets!$Q62-Volatilities_Resets!$O62)/50)*((Calculator!I73-Calculator!K$6)*10000)+Volatilities_Resets!$O62)),IF(I73&gt;=K$5,IF(I73&lt;L$5,(((Volatilities_Resets!$O62-Volatilities_Resets!$M62)/50)*((Calculator!I73-Calculator!K$5)*10000)+Volatilities_Resets!$M62)),IF(I73&gt;=K$4,IF(I73&lt;L$4,(((Volatilities_Resets!$M62-Volatilities_Resets!$K62)/50)*((Calculator!I73-Calculator!K$4)*10000)+Volatilities_Resets!$K62)),IF(I73&gt;=K$3,IF(I73&lt;L$3,(((Volatilities_Resets!$K62-Volatilities_Resets!$I62)/50)*((Calculator!I73-Calculator!K$3)*10000)+Volatilities_Resets!$I62)),IF(I73&gt;=K$2,IF(I73&lt;L$2,(((Volatilities_Resets!$I62-Volatilities_Resets!$G62)/50)*((Calculator!I73-Calculator!K$2)*10000)+Volatilities_Resets!$G62)),"Well, something broke...")))))))))))/10000</f>
        <v>1.2171E-2</v>
      </c>
      <c r="L73" s="47">
        <f t="shared" ca="1" si="17"/>
        <v>38065.914159888845</v>
      </c>
      <c r="M73" s="63">
        <f t="shared" ca="1" si="18"/>
        <v>1.5276826824846409E-3</v>
      </c>
      <c r="N73" s="63">
        <f t="shared" ca="1" si="44"/>
        <v>2835691.0414636084</v>
      </c>
      <c r="Q73" s="63">
        <f t="shared" ca="1" si="19"/>
        <v>102.12977661207591</v>
      </c>
      <c r="R73" s="63">
        <f ca="1">SUM($Q$15:Q73)</f>
        <v>3994.1601757920662</v>
      </c>
      <c r="T73" s="52">
        <f ca="1">EXP(-AVERAGE(J$15:J73)*G73)</f>
        <v>0.8095713599054708</v>
      </c>
      <c r="U73" s="57"/>
      <c r="V73" s="52">
        <f t="shared" ca="1" si="20"/>
        <v>59</v>
      </c>
      <c r="W73" s="71">
        <f t="shared" ca="1" si="21"/>
        <v>46956</v>
      </c>
      <c r="X73" s="71">
        <f t="shared" ca="1" si="3"/>
        <v>46987</v>
      </c>
      <c r="Y73" s="72">
        <f t="shared" ca="1" si="4"/>
        <v>31</v>
      </c>
      <c r="Z73" s="73">
        <f ca="1">SUM(Y$15:Y73)/360</f>
        <v>4.9888888888888889</v>
      </c>
      <c r="AA73" s="74">
        <f t="shared" si="22"/>
        <v>25000000</v>
      </c>
      <c r="AB73" s="59">
        <f t="shared" si="23"/>
        <v>0.03</v>
      </c>
      <c r="AC73" s="57">
        <f>Volatilities_Resets!$E62*0.01</f>
        <v>3.7599399999999998E-2</v>
      </c>
      <c r="AD73" s="61">
        <f>IF(AB73=AE$11,Volatilities_Resets!$AA62,IF(AB73&gt;=AD$11,IF(AB73&lt;AE$11,(((Volatilities_Resets!$AA62-Volatilities_Resets!$Y62)/50)*((Calculator!AB73-Calculator!AD$11)*10000)+Volatilities_Resets!$Y62)),IF(AB73&gt;=AD$10,IF(AB73&lt;AE$10,(((Volatilities_Resets!$Y62-Volatilities_Resets!$W62)/50)*((Calculator!AB73-Calculator!AD$10)*10000)+Volatilities_Resets!$W62)),IF(AB73&gt;=AD$9,IF(AB73&lt;AE$9,(((Volatilities_Resets!$W62-Volatilities_Resets!$U62)/50)*((Calculator!AB73-Calculator!AD$9)*10000)+Volatilities_Resets!$U62)),IF(AB73&gt;=AD$8,IF(AB73&lt;AE$8,(((Volatilities_Resets!$U62-Volatilities_Resets!$S62)/50)*((Calculator!AB73-Calculator!AD$8)*10000)+Volatilities_Resets!$S62)),IF(AB73&gt;=AD$7,IF(AB73&lt;AE$7,(((Volatilities_Resets!$S62-Volatilities_Resets!$Q62)/50)*((Calculator!AB73-Calculator!AD$7)*10000)+Volatilities_Resets!$Q62)),IF(AB73&gt;=AD$6,IF(AB73&lt;AE$6,(((Volatilities_Resets!$Q62-Volatilities_Resets!$O62)/50)*((Calculator!AB73-Calculator!AD$6)*10000)+Volatilities_Resets!$O62)),IF(AB73&gt;=AD$5,IF(AB73&lt;AE$5,(((Volatilities_Resets!$O62-Volatilities_Resets!$M62)/50)*((Calculator!AB73-Calculator!AD$5)*10000)+Volatilities_Resets!$M62)),IF(AB73&gt;=AD$4,IF(AB73&lt;AE$4,(((Volatilities_Resets!$M62-Volatilities_Resets!$K62)/50)*((Calculator!AB73-Calculator!AD$4)*10000)+Volatilities_Resets!$K62)),IF(AB73&gt;=AD$3,IF(AB73&lt;AE$3,(((Volatilities_Resets!$K62-Volatilities_Resets!$I62)/50)*((Calculator!AB73-Calculator!AD$3)*10000)+Volatilities_Resets!$I62)),IF(AB73&gt;=AD$2,IF(AB73&lt;AE$2,(((Volatilities_Resets!$I62-Volatilities_Resets!$G62)/50)*((Calculator!AB73-Calculator!AD$2)*10000)+Volatilities_Resets!$G62)),"Well, something broke...")))))))))))/10000</f>
        <v>1.2187999999999999E-2</v>
      </c>
      <c r="AE73" s="63">
        <f t="shared" ca="1" si="24"/>
        <v>26282.702863615279</v>
      </c>
      <c r="AF73" s="63">
        <f t="shared" ca="1" si="25"/>
        <v>1.0572845511715423E-3</v>
      </c>
      <c r="AG73" s="63">
        <f t="shared" ca="1" si="45"/>
        <v>1945809.9861741224</v>
      </c>
      <c r="AJ73" s="63">
        <f t="shared" ca="1" si="26"/>
        <v>120.95879818633911</v>
      </c>
      <c r="AK73" s="63">
        <f ca="1">SUM($AJ$15:AJ73)</f>
        <v>4893.6087730038125</v>
      </c>
      <c r="AM73" s="52">
        <f ca="1">EXP(-AVERAGE(AC$15:AC73)*Z73)</f>
        <v>0.8095713599054708</v>
      </c>
      <c r="AO73" s="52">
        <f t="shared" ca="1" si="27"/>
        <v>59</v>
      </c>
      <c r="AP73" s="71">
        <f t="shared" ca="1" si="28"/>
        <v>46956</v>
      </c>
      <c r="AQ73" s="71">
        <f t="shared" ca="1" si="5"/>
        <v>46987</v>
      </c>
      <c r="AR73" s="72">
        <f t="shared" ca="1" si="6"/>
        <v>31</v>
      </c>
      <c r="AS73" s="73">
        <f ca="1">SUM(AR$15:AR73)/360</f>
        <v>4.9888888888888889</v>
      </c>
      <c r="AT73" s="74">
        <f t="shared" si="7"/>
        <v>25000000</v>
      </c>
      <c r="AU73" s="59">
        <f t="shared" si="29"/>
        <v>0.04</v>
      </c>
      <c r="AV73" s="57">
        <f>Volatilities_Resets!$E62*0.01</f>
        <v>3.7599399999999998E-2</v>
      </c>
      <c r="AW73" s="61">
        <f>IF(AU73=AX$11,Volatilities_Resets!$AA62,IF(AU73&gt;=AW$11,IF(AU73&lt;AX$11,(((Volatilities_Resets!$AA62-Volatilities_Resets!$Y62)/50)*((Calculator!AU73-Calculator!AW$11)*10000)+Volatilities_Resets!$Y62)),IF(AU73&gt;=AW$10,IF(AU73&lt;AX$10,(((Volatilities_Resets!$Y62-Volatilities_Resets!$W62)/50)*((Calculator!AU73-Calculator!AW$10)*10000)+Volatilities_Resets!$W62)),IF(AU73&gt;=AW$9,IF(AU73&lt;AX$9,(((Volatilities_Resets!$W62-Volatilities_Resets!$U62)/50)*((Calculator!AU73-Calculator!AW$9)*10000)+Volatilities_Resets!$U62)),IF(AU73&gt;=AW$8,IF(AU73&lt;AX$8,(((Volatilities_Resets!$U62-Volatilities_Resets!$S62)/50)*((Calculator!AU73-Calculator!AW$8)*10000)+Volatilities_Resets!$S62)),IF(AU73&gt;=AW$7,IF(AU73&lt;AX$7,(((Volatilities_Resets!$S62-Volatilities_Resets!$Q62)/50)*((Calculator!AU73-Calculator!AW$7)*10000)+Volatilities_Resets!$Q62)),IF(AU73&gt;=AW$6,IF(AU73&lt;AX$6,(((Volatilities_Resets!$Q62-Volatilities_Resets!$O62)/50)*((Calculator!AU73-Calculator!AW$6)*10000)+Volatilities_Resets!$O62)),IF(AU73&gt;=AW$5,IF(AU73&lt;AX$5,(((Volatilities_Resets!$O62-Volatilities_Resets!$M62)/50)*((Calculator!AU73-Calculator!AW$5)*10000)+Volatilities_Resets!$M62)),IF(AU73&gt;=AW$4,IF(AU73&lt;AX$4,(((Volatilities_Resets!$M62-Volatilities_Resets!$K62)/50)*((Calculator!AU73-Calculator!AW$4)*10000)+Volatilities_Resets!$K62)),IF(AU73&gt;=AW$3,IF(AU73&lt;AX$3,(((Volatilities_Resets!$K62-Volatilities_Resets!$I62)/50)*((Calculator!AU73-Calculator!AW$3)*10000)+Volatilities_Resets!$I62)),IF(AU73&gt;=AW$2,IF(AU73&lt;AX$2,(((Volatilities_Resets!$I62-Volatilities_Resets!$G62)/50)*((Calculator!AU73-Calculator!AW$2)*10000)+Volatilities_Resets!$G62)),"Well, something broke...")))))))))))/10000</f>
        <v>1.2548E-2</v>
      </c>
      <c r="AX73" s="63">
        <f t="shared" ca="1" si="30"/>
        <v>17466.336467837278</v>
      </c>
      <c r="AY73" s="63">
        <f t="shared" ca="1" si="31"/>
        <v>7.0484281970371572E-4</v>
      </c>
      <c r="AZ73" s="63">
        <f t="shared" ca="1" si="46"/>
        <v>1168270.8767283927</v>
      </c>
      <c r="BC73" s="63">
        <f t="shared" ca="1" si="8"/>
        <v>125.26823484504924</v>
      </c>
      <c r="BD73" s="63">
        <f ca="1">SUM($BC$15:BC73)</f>
        <v>5326.4304496249115</v>
      </c>
      <c r="BF73" s="52">
        <f ca="1">EXP(-AVERAGE(AV$15:AV73)*AS73)</f>
        <v>0.8095713599054708</v>
      </c>
      <c r="BH73" s="52">
        <f t="shared" ca="1" si="32"/>
        <v>59</v>
      </c>
      <c r="BI73" s="71">
        <f t="shared" ca="1" si="33"/>
        <v>46956</v>
      </c>
      <c r="BJ73" s="71">
        <f t="shared" ca="1" si="9"/>
        <v>46987</v>
      </c>
      <c r="BK73" s="72">
        <f t="shared" ca="1" si="10"/>
        <v>31</v>
      </c>
      <c r="BL73" s="73">
        <f ca="1">SUM(BK$15:BK73)/360</f>
        <v>4.9888888888888889</v>
      </c>
      <c r="BM73" s="74">
        <f t="shared" si="11"/>
        <v>25000000</v>
      </c>
      <c r="BN73" s="59">
        <f t="shared" si="34"/>
        <v>0.05</v>
      </c>
      <c r="BO73" s="57">
        <f>Volatilities_Resets!$E62*0.01</f>
        <v>3.7599399999999998E-2</v>
      </c>
      <c r="BP73" s="61">
        <f>IF(BN73=BQ$11,Volatilities_Resets!$AA62,IF(BN73&gt;=BP$11,IF(BN73&lt;BQ$11,(((Volatilities_Resets!$AA62-Volatilities_Resets!$Y62)/50)*((Calculator!BN73-Calculator!BP$11)*10000)+Volatilities_Resets!$Y62)),IF(BN73&gt;=BP$10,IF(BN73&lt;BQ$10,(((Volatilities_Resets!$Y62-Volatilities_Resets!$W62)/50)*((Calculator!BN73-Calculator!BP$10)*10000)+Volatilities_Resets!$W62)),IF(BN73&gt;=BP$9,IF(BN73&lt;BQ$9,(((Volatilities_Resets!$W62-Volatilities_Resets!$U62)/50)*((Calculator!BN73-Calculator!BP$9)*10000)+Volatilities_Resets!$U62)),IF(BN73&gt;=BP$8,IF(BN73&lt;BQ$8,(((Volatilities_Resets!$U62-Volatilities_Resets!$S62)/50)*((Calculator!BN73-Calculator!BP$8)*10000)+Volatilities_Resets!$S62)),IF(BN73&gt;=BP$7,IF(BN73&lt;BQ$7,(((Volatilities_Resets!$S62-Volatilities_Resets!$Q62)/50)*((Calculator!BN73-Calculator!BP$7)*10000)+Volatilities_Resets!$Q62)),IF(BN73&gt;=BP$6,IF(BN73&lt;BQ$6,(((Volatilities_Resets!$Q62-Volatilities_Resets!$O62)/50)*((Calculator!BN73-Calculator!BP$6)*10000)+Volatilities_Resets!$O62)),IF(BN73&gt;=BP$5,IF(BN73&lt;BQ$5,(((Volatilities_Resets!$O62-Volatilities_Resets!$M62)/50)*((Calculator!BN73-Calculator!BP$5)*10000)+Volatilities_Resets!$M62)),IF(BN73&gt;=BP$4,IF(BN73&lt;BQ$4,(((Volatilities_Resets!$M62-Volatilities_Resets!$K62)/50)*((Calculator!BN73-Calculator!BP$4)*10000)+Volatilities_Resets!$K62)),IF(BN73&gt;=BP$3,IF(BN73&lt;BQ$3,(((Volatilities_Resets!$K62-Volatilities_Resets!$I62)/50)*((Calculator!BN73-Calculator!BP$3)*10000)+Volatilities_Resets!$I62)),IF(BN73&gt;=BP$2,IF(BN73&lt;BQ$2,(((Volatilities_Resets!$I62-Volatilities_Resets!$G62)/50)*((Calculator!BN73-Calculator!BP$2)*10000)+Volatilities_Resets!$G62)),"Well, something broke...")))))))))))/10000</f>
        <v>1.3255000000000001E-2</v>
      </c>
      <c r="BQ73" s="63">
        <f t="shared" ca="1" si="35"/>
        <v>11558.44639022652</v>
      </c>
      <c r="BR73" s="63">
        <f t="shared" ca="1" si="36"/>
        <v>4.6803183453767062E-4</v>
      </c>
      <c r="BS73" s="63">
        <f t="shared" ca="1" si="47"/>
        <v>573682.67081327026</v>
      </c>
      <c r="BV73" s="63">
        <f t="shared" ca="1" si="37"/>
        <v>115.2420566126945</v>
      </c>
      <c r="BW73" s="63">
        <f ca="1">SUM($BV$15:BV73)</f>
        <v>5187.9632784534588</v>
      </c>
      <c r="BY73" s="52">
        <f ca="1">EXP(-AVERAGE(BO$15:BO73)*BL73)</f>
        <v>0.8095713599054708</v>
      </c>
      <c r="CA73" s="52">
        <f t="shared" ca="1" si="38"/>
        <v>59</v>
      </c>
      <c r="CB73" s="71">
        <f t="shared" ca="1" si="39"/>
        <v>46956</v>
      </c>
      <c r="CC73" s="71">
        <f t="shared" ca="1" si="12"/>
        <v>46987</v>
      </c>
      <c r="CD73" s="72">
        <f t="shared" ca="1" si="13"/>
        <v>31</v>
      </c>
      <c r="CE73" s="73">
        <f ca="1">SUM(CD$15:CD73)/360</f>
        <v>4.9888888888888889</v>
      </c>
      <c r="CF73" s="74">
        <f t="shared" si="14"/>
        <v>25000000</v>
      </c>
      <c r="CG73" s="59">
        <f t="shared" si="40"/>
        <v>0.06</v>
      </c>
      <c r="CH73" s="57">
        <f>Volatilities_Resets!$E62*0.01</f>
        <v>3.7599399999999998E-2</v>
      </c>
      <c r="CI73" s="61">
        <f>IF(CG73=CJ$11,Volatilities_Resets!$AA62,IF(CG73&gt;=CI$11,IF(CG73&lt;CJ$11,(((Volatilities_Resets!$AA62-Volatilities_Resets!$Y62)/50)*((Calculator!CG73-Calculator!CI$11)*10000)+Volatilities_Resets!$Y62)),IF(CG73&gt;=CI$10,IF(CG73&lt;CJ$10,(((Volatilities_Resets!$Y62-Volatilities_Resets!$W62)/50)*((Calculator!CG73-Calculator!CI$10)*10000)+Volatilities_Resets!$W62)),IF(CG73&gt;=CI$9,IF(CG73&lt;CJ$9,(((Volatilities_Resets!$W62-Volatilities_Resets!$U62)/50)*((Calculator!CG73-Calculator!CI$9)*10000)+Volatilities_Resets!$U62)),IF(CG73&gt;=CI$8,IF(CG73&lt;CJ$8,(((Volatilities_Resets!$U62-Volatilities_Resets!$S62)/50)*((Calculator!CG73-Calculator!CI$8)*10000)+Volatilities_Resets!$S62)),IF(CG73&gt;=CI$7,IF(CG73&lt;CJ$7,(((Volatilities_Resets!$S62-Volatilities_Resets!$Q62)/50)*((Calculator!CG73-Calculator!CI$7)*10000)+Volatilities_Resets!$Q62)),IF(CG73&gt;=CI$6,IF(CG73&lt;CJ$6,(((Volatilities_Resets!$Q62-Volatilities_Resets!$O62)/50)*((Calculator!CG73-Calculator!CI$6)*10000)+Volatilities_Resets!$O62)),IF(CG73&gt;=CI$5,IF(CG73&lt;CJ$5,(((Volatilities_Resets!$O62-Volatilities_Resets!$M62)/50)*((Calculator!CG73-Calculator!CI$5)*10000)+Volatilities_Resets!$M62)),IF(CG73&gt;=CI$4,IF(CG73&lt;CJ$4,(((Volatilities_Resets!$M62-Volatilities_Resets!$K62)/50)*((Calculator!CG73-Calculator!CI$4)*10000)+Volatilities_Resets!$K62)),IF(CG73&gt;=CI$3,IF(CG73&lt;CJ$3,(((Volatilities_Resets!$K62-Volatilities_Resets!$I62)/50)*((Calculator!CG73-Calculator!CI$3)*10000)+Volatilities_Resets!$I62)),IF(CG73&gt;=CI$2,IF(CG73&lt;CJ$2,(((Volatilities_Resets!$I62-Volatilities_Resets!$G62)/50)*((Calculator!CG73-Calculator!CI$2)*10000)+Volatilities_Resets!$G62)),"Well, something broke...")))))))))))/10000</f>
        <v>1.4222E-2</v>
      </c>
      <c r="CJ73" s="63">
        <f t="shared" ca="1" si="41"/>
        <v>7841.0868491723231</v>
      </c>
      <c r="CK73" s="63">
        <f t="shared" ca="1" si="42"/>
        <v>3.184963501332486E-4</v>
      </c>
      <c r="CL73" s="63">
        <f t="shared" ca="1" si="48"/>
        <v>263106.12276818801</v>
      </c>
      <c r="CO73" s="63">
        <f t="shared" ca="1" si="43"/>
        <v>98.218738936235425</v>
      </c>
      <c r="CP73" s="63">
        <f ca="1">SUM($CO$15:CO73)</f>
        <v>3954.7255430580581</v>
      </c>
      <c r="CR73" s="52">
        <f ca="1">EXP(-AVERAGE(CH$15:CH73)*CE73)</f>
        <v>0.8095713599054708</v>
      </c>
      <c r="CT73"/>
      <c r="CU73"/>
      <c r="CV73"/>
      <c r="CW73"/>
      <c r="CX73"/>
      <c r="CY73"/>
      <c r="CZ73"/>
      <c r="DA73"/>
      <c r="DB73"/>
      <c r="DC73"/>
      <c r="DD73"/>
      <c r="DE73"/>
      <c r="DF73"/>
      <c r="DG73"/>
      <c r="DH73"/>
      <c r="DI73"/>
      <c r="DJ73"/>
      <c r="DK73"/>
      <c r="DL73"/>
    </row>
    <row r="74" spans="2:116" ht="15.75" customHeight="1" x14ac:dyDescent="0.2">
      <c r="B74" s="52">
        <v>5</v>
      </c>
      <c r="C74" s="75">
        <f t="shared" ca="1" si="49"/>
        <v>60</v>
      </c>
      <c r="D74" s="76">
        <f t="shared" ca="1" si="16"/>
        <v>46987</v>
      </c>
      <c r="E74" s="76">
        <f t="shared" ca="1" si="50"/>
        <v>47018</v>
      </c>
      <c r="F74" s="77">
        <f t="shared" ca="1" si="51"/>
        <v>31</v>
      </c>
      <c r="G74" s="78">
        <f ca="1">SUM($F$15:F74)/360</f>
        <v>5.0750000000000002</v>
      </c>
      <c r="H74" s="79">
        <f t="shared" si="2"/>
        <v>25000000</v>
      </c>
      <c r="I74" s="80">
        <f>IF('Cap Pricer'!$E$22=DataValidation!$C$2,'Cap Pricer'!$E$23,IF('Cap Pricer'!$E$22=DataValidation!$C$3,VLOOKUP($B74,'Cap Pricer'!$C$25:$E$31,3),""))</f>
        <v>0.02</v>
      </c>
      <c r="J74" s="81">
        <f>Volatilities_Resets!$E63*0.01</f>
        <v>3.7597499999999999E-2</v>
      </c>
      <c r="K74" s="82">
        <f>IF(I74=L$11,Volatilities_Resets!$AA63,IF(I74&gt;=K$11,IF(I74&lt;L$11,(((Volatilities_Resets!$AA63-Volatilities_Resets!$Y63)/50)*((Calculator!I74-Calculator!K$11)*10000)+Volatilities_Resets!$Y63)),IF(I74&gt;=K$10,IF(I74&lt;L$10,(((Volatilities_Resets!$Y63-Volatilities_Resets!$W63)/50)*((Calculator!I74-Calculator!K$10)*10000)+Volatilities_Resets!$W63)),IF(I74&gt;=K$9,IF(I74&lt;L$9,(((Volatilities_Resets!$W63-Volatilities_Resets!$U63)/50)*((Calculator!I74-Calculator!K$9)*10000)+Volatilities_Resets!$U63)),IF(I74&gt;=K$8,IF(I74&lt;L$8,(((Volatilities_Resets!$U63-Volatilities_Resets!$S63)/50)*((Calculator!I74-Calculator!K$8)*10000)+Volatilities_Resets!$S63)),IF(I74&gt;=K$7,IF(I74&lt;L$7,(((Volatilities_Resets!$S63-Volatilities_Resets!$Q63)/50)*((Calculator!I74-Calculator!K$7)*10000)+Volatilities_Resets!$Q63)),IF(I74&gt;=K$6,IF(I74&lt;L$6,(((Volatilities_Resets!$Q63-Volatilities_Resets!$O63)/50)*((Calculator!I74-Calculator!K$6)*10000)+Volatilities_Resets!$O63)),IF(I74&gt;=K$5,IF(I74&lt;L$5,(((Volatilities_Resets!$O63-Volatilities_Resets!$M63)/50)*((Calculator!I74-Calculator!K$5)*10000)+Volatilities_Resets!$M63)),IF(I74&gt;=K$4,IF(I74&lt;L$4,(((Volatilities_Resets!$M63-Volatilities_Resets!$K63)/50)*((Calculator!I74-Calculator!K$4)*10000)+Volatilities_Resets!$K63)),IF(I74&gt;=K$3,IF(I74&lt;L$3,(((Volatilities_Resets!$K63-Volatilities_Resets!$I63)/50)*((Calculator!I74-Calculator!K$3)*10000)+Volatilities_Resets!$I63)),IF(I74&gt;=K$2,IF(I74&lt;L$2,(((Volatilities_Resets!$I63-Volatilities_Resets!$G63)/50)*((Calculator!I74-Calculator!K$2)*10000)+Volatilities_Resets!$G63)),"Well, something broke...")))))))))))/10000</f>
        <v>1.1885E-2</v>
      </c>
      <c r="L74" s="83">
        <f t="shared" ca="1" si="17"/>
        <v>37710.07192315907</v>
      </c>
      <c r="M74" s="84">
        <f t="shared" ca="1" si="18"/>
        <v>1.5134438226368356E-3</v>
      </c>
      <c r="N74" s="84">
        <f t="shared" ca="1" si="44"/>
        <v>2873401.1133867675</v>
      </c>
      <c r="O74" s="84">
        <f ca="1">SUM(L63:L74)</f>
        <v>451253.81480085553</v>
      </c>
      <c r="P74" s="49"/>
      <c r="Q74" s="84">
        <f t="shared" ca="1" si="19"/>
        <v>101.69461576008199</v>
      </c>
      <c r="R74" s="84">
        <f ca="1">SUM($Q$15:Q74)</f>
        <v>4095.8547915521481</v>
      </c>
      <c r="T74" s="52">
        <f ca="1">EXP(-AVERAGE(J$15:J74)*G74)</f>
        <v>0.80694870844418221</v>
      </c>
      <c r="U74" s="57"/>
      <c r="V74" s="75">
        <f t="shared" ca="1" si="20"/>
        <v>60</v>
      </c>
      <c r="W74" s="76">
        <f t="shared" ca="1" si="21"/>
        <v>46987</v>
      </c>
      <c r="X74" s="76">
        <f t="shared" ca="1" si="3"/>
        <v>47018</v>
      </c>
      <c r="Y74" s="77">
        <f t="shared" ca="1" si="4"/>
        <v>31</v>
      </c>
      <c r="Z74" s="78">
        <f ca="1">SUM(Y$15:Y74)/360</f>
        <v>5.0750000000000002</v>
      </c>
      <c r="AA74" s="79">
        <f t="shared" si="22"/>
        <v>25000000</v>
      </c>
      <c r="AB74" s="80">
        <f t="shared" si="23"/>
        <v>0.03</v>
      </c>
      <c r="AC74" s="81">
        <f>Volatilities_Resets!$E63*0.01</f>
        <v>3.7597499999999999E-2</v>
      </c>
      <c r="AD74" s="82">
        <f>IF(AB74=AE$11,Volatilities_Resets!$AA63,IF(AB74&gt;=AD$11,IF(AB74&lt;AE$11,(((Volatilities_Resets!$AA63-Volatilities_Resets!$Y63)/50)*((Calculator!AB74-Calculator!AD$11)*10000)+Volatilities_Resets!$Y63)),IF(AB74&gt;=AD$10,IF(AB74&lt;AE$10,(((Volatilities_Resets!$Y63-Volatilities_Resets!$W63)/50)*((Calculator!AB74-Calculator!AD$10)*10000)+Volatilities_Resets!$W63)),IF(AB74&gt;=AD$9,IF(AB74&lt;AE$9,(((Volatilities_Resets!$W63-Volatilities_Resets!$U63)/50)*((Calculator!AB74-Calculator!AD$9)*10000)+Volatilities_Resets!$U63)),IF(AB74&gt;=AD$8,IF(AB74&lt;AE$8,(((Volatilities_Resets!$U63-Volatilities_Resets!$S63)/50)*((Calculator!AB74-Calculator!AD$8)*10000)+Volatilities_Resets!$S63)),IF(AB74&gt;=AD$7,IF(AB74&lt;AE$7,(((Volatilities_Resets!$S63-Volatilities_Resets!$Q63)/50)*((Calculator!AB74-Calculator!AD$7)*10000)+Volatilities_Resets!$Q63)),IF(AB74&gt;=AD$6,IF(AB74&lt;AE$6,(((Volatilities_Resets!$Q63-Volatilities_Resets!$O63)/50)*((Calculator!AB74-Calculator!AD$6)*10000)+Volatilities_Resets!$O63)),IF(AB74&gt;=AD$5,IF(AB74&lt;AE$5,(((Volatilities_Resets!$O63-Volatilities_Resets!$M63)/50)*((Calculator!AB74-Calculator!AD$5)*10000)+Volatilities_Resets!$M63)),IF(AB74&gt;=AD$4,IF(AB74&lt;AE$4,(((Volatilities_Resets!$M63-Volatilities_Resets!$K63)/50)*((Calculator!AB74-Calculator!AD$4)*10000)+Volatilities_Resets!$K63)),IF(AB74&gt;=AD$3,IF(AB74&lt;AE$3,(((Volatilities_Resets!$K63-Volatilities_Resets!$I63)/50)*((Calculator!AB74-Calculator!AD$3)*10000)+Volatilities_Resets!$I63)),IF(AB74&gt;=AD$2,IF(AB74&lt;AE$2,(((Volatilities_Resets!$I63-Volatilities_Resets!$G63)/50)*((Calculator!AB74-Calculator!AD$2)*10000)+Volatilities_Resets!$G63)),"Well, something broke...")))))))))))/10000</f>
        <v>1.1945000000000001E-2</v>
      </c>
      <c r="AE74" s="84">
        <f t="shared" ca="1" si="24"/>
        <v>25986.68019787025</v>
      </c>
      <c r="AF74" s="84">
        <f t="shared" ca="1" si="25"/>
        <v>1.0454701936995785E-3</v>
      </c>
      <c r="AG74" s="84">
        <f t="shared" ca="1" si="45"/>
        <v>1971796.6663719928</v>
      </c>
      <c r="AH74" s="84">
        <f ca="1">SUM(AE63:AE74)</f>
        <v>308752.76635902742</v>
      </c>
      <c r="AI74" s="49"/>
      <c r="AJ74" s="84">
        <f t="shared" ca="1" si="26"/>
        <v>121.10254064569207</v>
      </c>
      <c r="AK74" s="84">
        <f ca="1">SUM($AJ$15:AJ74)</f>
        <v>5014.7113136495045</v>
      </c>
      <c r="AM74" s="52">
        <f ca="1">EXP(-AVERAGE(AC$15:AC74)*Z74)</f>
        <v>0.80694870844418221</v>
      </c>
      <c r="AO74" s="75">
        <f t="shared" ca="1" si="27"/>
        <v>60</v>
      </c>
      <c r="AP74" s="76">
        <f t="shared" ca="1" si="28"/>
        <v>46987</v>
      </c>
      <c r="AQ74" s="76">
        <f t="shared" ca="1" si="5"/>
        <v>47018</v>
      </c>
      <c r="AR74" s="77">
        <f t="shared" ca="1" si="6"/>
        <v>31</v>
      </c>
      <c r="AS74" s="78">
        <f ca="1">SUM(AR$15:AR74)/360</f>
        <v>5.0750000000000002</v>
      </c>
      <c r="AT74" s="79">
        <f t="shared" si="7"/>
        <v>25000000</v>
      </c>
      <c r="AU74" s="80">
        <f t="shared" si="29"/>
        <v>0.04</v>
      </c>
      <c r="AV74" s="81">
        <f>Volatilities_Resets!$E63*0.01</f>
        <v>3.7597499999999999E-2</v>
      </c>
      <c r="AW74" s="82">
        <f>IF(AU74=AX$11,Volatilities_Resets!$AA63,IF(AU74&gt;=AW$11,IF(AU74&lt;AX$11,(((Volatilities_Resets!$AA63-Volatilities_Resets!$Y63)/50)*((Calculator!AU74-Calculator!AW$11)*10000)+Volatilities_Resets!$Y63)),IF(AU74&gt;=AW$10,IF(AU74&lt;AX$10,(((Volatilities_Resets!$Y63-Volatilities_Resets!$W63)/50)*((Calculator!AU74-Calculator!AW$10)*10000)+Volatilities_Resets!$W63)),IF(AU74&gt;=AW$9,IF(AU74&lt;AX$9,(((Volatilities_Resets!$W63-Volatilities_Resets!$U63)/50)*((Calculator!AU74-Calculator!AW$9)*10000)+Volatilities_Resets!$U63)),IF(AU74&gt;=AW$8,IF(AU74&lt;AX$8,(((Volatilities_Resets!$U63-Volatilities_Resets!$S63)/50)*((Calculator!AU74-Calculator!AW$8)*10000)+Volatilities_Resets!$S63)),IF(AU74&gt;=AW$7,IF(AU74&lt;AX$7,(((Volatilities_Resets!$S63-Volatilities_Resets!$Q63)/50)*((Calculator!AU74-Calculator!AW$7)*10000)+Volatilities_Resets!$Q63)),IF(AU74&gt;=AW$6,IF(AU74&lt;AX$6,(((Volatilities_Resets!$Q63-Volatilities_Resets!$O63)/50)*((Calculator!AU74-Calculator!AW$6)*10000)+Volatilities_Resets!$O63)),IF(AU74&gt;=AW$5,IF(AU74&lt;AX$5,(((Volatilities_Resets!$O63-Volatilities_Resets!$M63)/50)*((Calculator!AU74-Calculator!AW$5)*10000)+Volatilities_Resets!$M63)),IF(AU74&gt;=AW$4,IF(AU74&lt;AX$4,(((Volatilities_Resets!$M63-Volatilities_Resets!$K63)/50)*((Calculator!AU74-Calculator!AW$4)*10000)+Volatilities_Resets!$K63)),IF(AU74&gt;=AW$3,IF(AU74&lt;AX$3,(((Volatilities_Resets!$K63-Volatilities_Resets!$I63)/50)*((Calculator!AU74-Calculator!AW$3)*10000)+Volatilities_Resets!$I63)),IF(AU74&gt;=AW$2,IF(AU74&lt;AX$2,(((Volatilities_Resets!$I63-Volatilities_Resets!$G63)/50)*((Calculator!AU74-Calculator!AW$2)*10000)+Volatilities_Resets!$G63)),"Well, something broke...")))))))))))/10000</f>
        <v>1.2323000000000001E-2</v>
      </c>
      <c r="AX74" s="84">
        <f t="shared" ca="1" si="30"/>
        <v>17224.531236363167</v>
      </c>
      <c r="AY74" s="84">
        <f t="shared" ca="1" si="31"/>
        <v>6.9520310553902167E-4</v>
      </c>
      <c r="AZ74" s="84">
        <f t="shared" ca="1" si="46"/>
        <v>1185495.4079647558</v>
      </c>
      <c r="BA74" s="84">
        <f ca="1">SUM(AX63:AX74)</f>
        <v>202493.86072821694</v>
      </c>
      <c r="BB74" s="49"/>
      <c r="BC74" s="84">
        <f t="shared" ca="1" si="8"/>
        <v>125.51796828772059</v>
      </c>
      <c r="BD74" s="84">
        <f ca="1">SUM($BC$15:BC74)</f>
        <v>5451.9484179126321</v>
      </c>
      <c r="BF74" s="52">
        <f ca="1">EXP(-AVERAGE(AV$15:AV74)*AS74)</f>
        <v>0.80694870844418221</v>
      </c>
      <c r="BH74" s="75">
        <f t="shared" ca="1" si="32"/>
        <v>60</v>
      </c>
      <c r="BI74" s="76">
        <f t="shared" ca="1" si="33"/>
        <v>46987</v>
      </c>
      <c r="BJ74" s="76">
        <f t="shared" ca="1" si="9"/>
        <v>47018</v>
      </c>
      <c r="BK74" s="77">
        <f t="shared" ca="1" si="10"/>
        <v>31</v>
      </c>
      <c r="BL74" s="78">
        <f ca="1">SUM(BK$15:BK74)/360</f>
        <v>5.0750000000000002</v>
      </c>
      <c r="BM74" s="79">
        <f t="shared" si="11"/>
        <v>25000000</v>
      </c>
      <c r="BN74" s="80">
        <f t="shared" si="34"/>
        <v>0.05</v>
      </c>
      <c r="BO74" s="81">
        <f>Volatilities_Resets!$E63*0.01</f>
        <v>3.7597499999999999E-2</v>
      </c>
      <c r="BP74" s="82">
        <f>IF(BN74=BQ$11,Volatilities_Resets!$AA63,IF(BN74&gt;=BP$11,IF(BN74&lt;BQ$11,(((Volatilities_Resets!$AA63-Volatilities_Resets!$Y63)/50)*((Calculator!BN74-Calculator!BP$11)*10000)+Volatilities_Resets!$Y63)),IF(BN74&gt;=BP$10,IF(BN74&lt;BQ$10,(((Volatilities_Resets!$Y63-Volatilities_Resets!$W63)/50)*((Calculator!BN74-Calculator!BP$10)*10000)+Volatilities_Resets!$W63)),IF(BN74&gt;=BP$9,IF(BN74&lt;BQ$9,(((Volatilities_Resets!$W63-Volatilities_Resets!$U63)/50)*((Calculator!BN74-Calculator!BP$9)*10000)+Volatilities_Resets!$U63)),IF(BN74&gt;=BP$8,IF(BN74&lt;BQ$8,(((Volatilities_Resets!$U63-Volatilities_Resets!$S63)/50)*((Calculator!BN74-Calculator!BP$8)*10000)+Volatilities_Resets!$S63)),IF(BN74&gt;=BP$7,IF(BN74&lt;BQ$7,(((Volatilities_Resets!$S63-Volatilities_Resets!$Q63)/50)*((Calculator!BN74-Calculator!BP$7)*10000)+Volatilities_Resets!$Q63)),IF(BN74&gt;=BP$6,IF(BN74&lt;BQ$6,(((Volatilities_Resets!$Q63-Volatilities_Resets!$O63)/50)*((Calculator!BN74-Calculator!BP$6)*10000)+Volatilities_Resets!$O63)),IF(BN74&gt;=BP$5,IF(BN74&lt;BQ$5,(((Volatilities_Resets!$O63-Volatilities_Resets!$M63)/50)*((Calculator!BN74-Calculator!BP$5)*10000)+Volatilities_Resets!$M63)),IF(BN74&gt;=BP$4,IF(BN74&lt;BQ$4,(((Volatilities_Resets!$M63-Volatilities_Resets!$K63)/50)*((Calculator!BN74-Calculator!BP$4)*10000)+Volatilities_Resets!$K63)),IF(BN74&gt;=BP$3,IF(BN74&lt;BQ$3,(((Volatilities_Resets!$K63-Volatilities_Resets!$I63)/50)*((Calculator!BN74-Calculator!BP$3)*10000)+Volatilities_Resets!$I63)),IF(BN74&gt;=BP$2,IF(BN74&lt;BQ$2,(((Volatilities_Resets!$I63-Volatilities_Resets!$G63)/50)*((Calculator!BN74-Calculator!BP$2)*10000)+Volatilities_Resets!$G63)),"Well, something broke...")))))))))))/10000</f>
        <v>1.3016E-2</v>
      </c>
      <c r="BQ74" s="84">
        <f t="shared" ca="1" si="35"/>
        <v>11339.754925863603</v>
      </c>
      <c r="BR74" s="84">
        <f t="shared" ca="1" si="36"/>
        <v>4.5930472392464859E-4</v>
      </c>
      <c r="BS74" s="84">
        <f t="shared" ca="1" si="47"/>
        <v>585022.42573913385</v>
      </c>
      <c r="BT74" s="84">
        <f ca="1">SUM(BQ63:BQ74)</f>
        <v>131971.79923793516</v>
      </c>
      <c r="BU74" s="49"/>
      <c r="BV74" s="84">
        <f t="shared" ca="1" si="37"/>
        <v>115.28325233348433</v>
      </c>
      <c r="BW74" s="84">
        <f ca="1">SUM($BV$15:BV74)</f>
        <v>5303.2465307869434</v>
      </c>
      <c r="BY74" s="52">
        <f ca="1">EXP(-AVERAGE(BO$15:BO74)*BL74)</f>
        <v>0.80694870844418221</v>
      </c>
      <c r="CA74" s="75">
        <f t="shared" ca="1" si="38"/>
        <v>60</v>
      </c>
      <c r="CB74" s="76">
        <f t="shared" ca="1" si="39"/>
        <v>46987</v>
      </c>
      <c r="CC74" s="76">
        <f t="shared" ca="1" si="12"/>
        <v>47018</v>
      </c>
      <c r="CD74" s="77">
        <f t="shared" ca="1" si="13"/>
        <v>31</v>
      </c>
      <c r="CE74" s="78">
        <f ca="1">SUM(CD$15:CD74)/360</f>
        <v>5.0750000000000002</v>
      </c>
      <c r="CF74" s="79">
        <f t="shared" si="14"/>
        <v>25000000</v>
      </c>
      <c r="CG74" s="80">
        <f t="shared" si="40"/>
        <v>0.06</v>
      </c>
      <c r="CH74" s="81">
        <f>Volatilities_Resets!$E63*0.01</f>
        <v>3.7597499999999999E-2</v>
      </c>
      <c r="CI74" s="82">
        <f>IF(CG74=CJ$11,Volatilities_Resets!$AA63,IF(CG74&gt;=CI$11,IF(CG74&lt;CJ$11,(((Volatilities_Resets!$AA63-Volatilities_Resets!$Y63)/50)*((Calculator!CG74-Calculator!CI$11)*10000)+Volatilities_Resets!$Y63)),IF(CG74&gt;=CI$10,IF(CG74&lt;CJ$10,(((Volatilities_Resets!$Y63-Volatilities_Resets!$W63)/50)*((Calculator!CG74-Calculator!CI$10)*10000)+Volatilities_Resets!$W63)),IF(CG74&gt;=CI$9,IF(CG74&lt;CJ$9,(((Volatilities_Resets!$W63-Volatilities_Resets!$U63)/50)*((Calculator!CG74-Calculator!CI$9)*10000)+Volatilities_Resets!$U63)),IF(CG74&gt;=CI$8,IF(CG74&lt;CJ$8,(((Volatilities_Resets!$U63-Volatilities_Resets!$S63)/50)*((Calculator!CG74-Calculator!CI$8)*10000)+Volatilities_Resets!$S63)),IF(CG74&gt;=CI$7,IF(CG74&lt;CJ$7,(((Volatilities_Resets!$S63-Volatilities_Resets!$Q63)/50)*((Calculator!CG74-Calculator!CI$7)*10000)+Volatilities_Resets!$Q63)),IF(CG74&gt;=CI$6,IF(CG74&lt;CJ$6,(((Volatilities_Resets!$Q63-Volatilities_Resets!$O63)/50)*((Calculator!CG74-Calculator!CI$6)*10000)+Volatilities_Resets!$O63)),IF(CG74&gt;=CI$5,IF(CG74&lt;CJ$5,(((Volatilities_Resets!$O63-Volatilities_Resets!$M63)/50)*((Calculator!CG74-Calculator!CI$5)*10000)+Volatilities_Resets!$M63)),IF(CG74&gt;=CI$4,IF(CG74&lt;CJ$4,(((Volatilities_Resets!$M63-Volatilities_Resets!$K63)/50)*((Calculator!CG74-Calculator!CI$4)*10000)+Volatilities_Resets!$K63)),IF(CG74&gt;=CI$3,IF(CG74&lt;CJ$3,(((Volatilities_Resets!$K63-Volatilities_Resets!$I63)/50)*((Calculator!CG74-Calculator!CI$3)*10000)+Volatilities_Resets!$I63)),IF(CG74&gt;=CI$2,IF(CG74&lt;CJ$2,(((Volatilities_Resets!$I63-Volatilities_Resets!$G63)/50)*((Calculator!CG74-Calculator!CI$2)*10000)+Volatilities_Resets!$G63)),"Well, something broke...")))))))))))/10000</f>
        <v>1.3946E-2</v>
      </c>
      <c r="CJ74" s="84">
        <f t="shared" ca="1" si="41"/>
        <v>7626.9081878599436</v>
      </c>
      <c r="CK74" s="84">
        <f t="shared" ca="1" si="42"/>
        <v>3.0992819155677549E-4</v>
      </c>
      <c r="CL74" s="84">
        <f t="shared" ca="1" si="48"/>
        <v>270733.03095604794</v>
      </c>
      <c r="CM74" s="84">
        <f ca="1">SUM(CJ63:CJ74)</f>
        <v>88236.424192360762</v>
      </c>
      <c r="CN74" s="49"/>
      <c r="CO74" s="84">
        <f t="shared" ca="1" si="43"/>
        <v>97.880135563587118</v>
      </c>
      <c r="CP74" s="84">
        <f ca="1">SUM($CO$15:CO74)</f>
        <v>4052.605678621645</v>
      </c>
      <c r="CR74" s="52">
        <f ca="1">EXP(-AVERAGE(CH$15:CH74)*CE74)</f>
        <v>0.80694870844418221</v>
      </c>
      <c r="CT74"/>
      <c r="CU74"/>
      <c r="CV74"/>
      <c r="CW74"/>
      <c r="CX74"/>
      <c r="CY74"/>
      <c r="CZ74"/>
      <c r="DA74"/>
      <c r="DB74"/>
      <c r="DC74"/>
      <c r="DD74"/>
      <c r="DE74"/>
      <c r="DF74"/>
      <c r="DG74"/>
      <c r="DH74"/>
      <c r="DI74"/>
      <c r="DJ74"/>
      <c r="DK74"/>
      <c r="DL74"/>
    </row>
    <row r="75" spans="2:116" ht="15.75" customHeight="1" x14ac:dyDescent="0.2">
      <c r="B75" s="52">
        <v>6</v>
      </c>
      <c r="C75" s="52">
        <f t="shared" ref="C75:C98" ca="1" si="52">IF(D75="","",C74+1)</f>
        <v>61</v>
      </c>
      <c r="D75" s="71">
        <f t="shared" ca="1" si="16"/>
        <v>47018</v>
      </c>
      <c r="E75" s="71">
        <f t="shared" ref="E75:E98" ca="1" si="53">EDATE(D75,1)</f>
        <v>47048</v>
      </c>
      <c r="F75" s="72">
        <f t="shared" ref="F75:F98" ca="1" si="54">E75-D75</f>
        <v>30</v>
      </c>
      <c r="G75" s="73">
        <f ca="1">SUM($F$15:F75)/360</f>
        <v>5.1583333333333332</v>
      </c>
      <c r="H75" s="74">
        <f t="shared" si="2"/>
        <v>25000000</v>
      </c>
      <c r="I75" s="59">
        <f>IF('Cap Pricer'!$E$22=DataValidation!$C$2,'Cap Pricer'!$E$23,IF('Cap Pricer'!$E$22=DataValidation!$C$3,VLOOKUP($B75,'Cap Pricer'!$C$25:$E$31,3),""))</f>
        <v>0.02</v>
      </c>
      <c r="J75" s="57">
        <f>Volatilities_Resets!$E64*0.01</f>
        <v>3.7837200000000001E-2</v>
      </c>
      <c r="K75" s="61">
        <f>IF(I75=L$11,Volatilities_Resets!$AA64,IF(I75&gt;=K$11,IF(I75&lt;L$11,(((Volatilities_Resets!$AA64-Volatilities_Resets!$Y64)/50)*((Calculator!I75-Calculator!K$11)*10000)+Volatilities_Resets!$Y64)),IF(I75&gt;=K$10,IF(I75&lt;L$10,(((Volatilities_Resets!$Y64-Volatilities_Resets!$W64)/50)*((Calculator!I75-Calculator!K$10)*10000)+Volatilities_Resets!$W64)),IF(I75&gt;=K$9,IF(I75&lt;L$9,(((Volatilities_Resets!$W64-Volatilities_Resets!$U64)/50)*((Calculator!I75-Calculator!K$9)*10000)+Volatilities_Resets!$U64)),IF(I75&gt;=K$8,IF(I75&lt;L$8,(((Volatilities_Resets!$U64-Volatilities_Resets!$S64)/50)*((Calculator!I75-Calculator!K$8)*10000)+Volatilities_Resets!$S64)),IF(I75&gt;=K$7,IF(I75&lt;L$7,(((Volatilities_Resets!$S64-Volatilities_Resets!$Q64)/50)*((Calculator!I75-Calculator!K$7)*10000)+Volatilities_Resets!$Q64)),IF(I75&gt;=K$6,IF(I75&lt;L$6,(((Volatilities_Resets!$Q64-Volatilities_Resets!$O64)/50)*((Calculator!I75-Calculator!K$6)*10000)+Volatilities_Resets!$O64)),IF(I75&gt;=K$5,IF(I75&lt;L$5,(((Volatilities_Resets!$O64-Volatilities_Resets!$M64)/50)*((Calculator!I75-Calculator!K$5)*10000)+Volatilities_Resets!$M64)),IF(I75&gt;=K$4,IF(I75&lt;L$4,(((Volatilities_Resets!$M64-Volatilities_Resets!$K64)/50)*((Calculator!I75-Calculator!K$4)*10000)+Volatilities_Resets!$K64)),IF(I75&gt;=K$3,IF(I75&lt;L$3,(((Volatilities_Resets!$K64-Volatilities_Resets!$I64)/50)*((Calculator!I75-Calculator!K$3)*10000)+Volatilities_Resets!$I64)),IF(I75&gt;=K$2,IF(I75&lt;L$2,(((Volatilities_Resets!$I64-Volatilities_Resets!$G64)/50)*((Calculator!I75-Calculator!K$2)*10000)+Volatilities_Resets!$G64)),"Well, something broke...")))))))))))/10000</f>
        <v>1.1618E-2</v>
      </c>
      <c r="L75" s="47">
        <f t="shared" ca="1" si="17"/>
        <v>36471.743111211756</v>
      </c>
      <c r="M75" s="63">
        <f t="shared" ca="1" si="18"/>
        <v>1.4637123537103588E-3</v>
      </c>
      <c r="N75" s="63">
        <f t="shared" ref="N75:N98" ca="1" si="55">N74+L75</f>
        <v>2909872.8564979793</v>
      </c>
      <c r="Q75" s="63">
        <f t="shared" ca="1" si="19"/>
        <v>97.386812584419857</v>
      </c>
      <c r="R75" s="63">
        <f ca="1">SUM($Q$15:Q75)</f>
        <v>4193.2416041365677</v>
      </c>
      <c r="T75" s="52">
        <f ca="1">EXP(-AVERAGE(J$15:J75)*G75)</f>
        <v>0.80441270489857408</v>
      </c>
      <c r="U75" s="57"/>
      <c r="V75" s="52">
        <f t="shared" ca="1" si="20"/>
        <v>61</v>
      </c>
      <c r="W75" s="71">
        <f t="shared" ca="1" si="21"/>
        <v>47018</v>
      </c>
      <c r="X75" s="71">
        <f t="shared" ca="1" si="3"/>
        <v>47048</v>
      </c>
      <c r="Y75" s="72">
        <f t="shared" ca="1" si="4"/>
        <v>30</v>
      </c>
      <c r="Z75" s="73">
        <f ca="1">SUM(Y$15:Y75)/360</f>
        <v>5.1583333333333332</v>
      </c>
      <c r="AA75" s="74">
        <f t="shared" si="22"/>
        <v>25000000</v>
      </c>
      <c r="AB75" s="59">
        <f t="shared" si="23"/>
        <v>0.03</v>
      </c>
      <c r="AC75" s="57">
        <f>Volatilities_Resets!$E64*0.01</f>
        <v>3.7837200000000001E-2</v>
      </c>
      <c r="AD75" s="61">
        <f>IF(AB75=AE$11,Volatilities_Resets!$AA64,IF(AB75&gt;=AD$11,IF(AB75&lt;AE$11,(((Volatilities_Resets!$AA64-Volatilities_Resets!$Y64)/50)*((Calculator!AB75-Calculator!AD$11)*10000)+Volatilities_Resets!$Y64)),IF(AB75&gt;=AD$10,IF(AB75&lt;AE$10,(((Volatilities_Resets!$Y64-Volatilities_Resets!$W64)/50)*((Calculator!AB75-Calculator!AD$10)*10000)+Volatilities_Resets!$W64)),IF(AB75&gt;=AD$9,IF(AB75&lt;AE$9,(((Volatilities_Resets!$W64-Volatilities_Resets!$U64)/50)*((Calculator!AB75-Calculator!AD$9)*10000)+Volatilities_Resets!$U64)),IF(AB75&gt;=AD$8,IF(AB75&lt;AE$8,(((Volatilities_Resets!$U64-Volatilities_Resets!$S64)/50)*((Calculator!AB75-Calculator!AD$8)*10000)+Volatilities_Resets!$S64)),IF(AB75&gt;=AD$7,IF(AB75&lt;AE$7,(((Volatilities_Resets!$S64-Volatilities_Resets!$Q64)/50)*((Calculator!AB75-Calculator!AD$7)*10000)+Volatilities_Resets!$Q64)),IF(AB75&gt;=AD$6,IF(AB75&lt;AE$6,(((Volatilities_Resets!$Q64-Volatilities_Resets!$O64)/50)*((Calculator!AB75-Calculator!AD$6)*10000)+Volatilities_Resets!$O64)),IF(AB75&gt;=AD$5,IF(AB75&lt;AE$5,(((Volatilities_Resets!$O64-Volatilities_Resets!$M64)/50)*((Calculator!AB75-Calculator!AD$5)*10000)+Volatilities_Resets!$M64)),IF(AB75&gt;=AD$4,IF(AB75&lt;AE$4,(((Volatilities_Resets!$M64-Volatilities_Resets!$K64)/50)*((Calculator!AB75-Calculator!AD$4)*10000)+Volatilities_Resets!$K64)),IF(AB75&gt;=AD$3,IF(AB75&lt;AE$3,(((Volatilities_Resets!$K64-Volatilities_Resets!$I64)/50)*((Calculator!AB75-Calculator!AD$3)*10000)+Volatilities_Resets!$I64)),IF(AB75&gt;=AD$2,IF(AB75&lt;AE$2,(((Volatilities_Resets!$I64-Volatilities_Resets!$G64)/50)*((Calculator!AB75-Calculator!AD$2)*10000)+Volatilities_Resets!$G64)),"Well, something broke...")))))))))))/10000</f>
        <v>1.1712E-2</v>
      </c>
      <c r="AE75" s="63">
        <f t="shared" ca="1" si="24"/>
        <v>25117.542288570901</v>
      </c>
      <c r="AF75" s="63">
        <f t="shared" ca="1" si="25"/>
        <v>1.0105196728883131E-3</v>
      </c>
      <c r="AG75" s="63">
        <f t="shared" ca="1" si="45"/>
        <v>1996914.2086605637</v>
      </c>
      <c r="AJ75" s="63">
        <f t="shared" ca="1" si="26"/>
        <v>117.00145277911653</v>
      </c>
      <c r="AK75" s="63">
        <f ca="1">SUM($AJ$15:AJ75)</f>
        <v>5131.7127664286209</v>
      </c>
      <c r="AM75" s="52">
        <f ca="1">EXP(-AVERAGE(AC$15:AC75)*Z75)</f>
        <v>0.80441270489857408</v>
      </c>
      <c r="AO75" s="52">
        <f t="shared" ca="1" si="27"/>
        <v>61</v>
      </c>
      <c r="AP75" s="71">
        <f t="shared" ca="1" si="28"/>
        <v>47018</v>
      </c>
      <c r="AQ75" s="71">
        <f t="shared" ca="1" si="5"/>
        <v>47048</v>
      </c>
      <c r="AR75" s="72">
        <f t="shared" ca="1" si="6"/>
        <v>30</v>
      </c>
      <c r="AS75" s="73">
        <f ca="1">SUM(AR$15:AR75)/360</f>
        <v>5.1583333333333332</v>
      </c>
      <c r="AT75" s="74">
        <f t="shared" si="7"/>
        <v>25000000</v>
      </c>
      <c r="AU75" s="59">
        <f t="shared" si="29"/>
        <v>0.04</v>
      </c>
      <c r="AV75" s="57">
        <f>Volatilities_Resets!$E64*0.01</f>
        <v>3.7837200000000001E-2</v>
      </c>
      <c r="AW75" s="61">
        <f>IF(AU75=AX$11,Volatilities_Resets!$AA64,IF(AU75&gt;=AW$11,IF(AU75&lt;AX$11,(((Volatilities_Resets!$AA64-Volatilities_Resets!$Y64)/50)*((Calculator!AU75-Calculator!AW$11)*10000)+Volatilities_Resets!$Y64)),IF(AU75&gt;=AW$10,IF(AU75&lt;AX$10,(((Volatilities_Resets!$Y64-Volatilities_Resets!$W64)/50)*((Calculator!AU75-Calculator!AW$10)*10000)+Volatilities_Resets!$W64)),IF(AU75&gt;=AW$9,IF(AU75&lt;AX$9,(((Volatilities_Resets!$W64-Volatilities_Resets!$U64)/50)*((Calculator!AU75-Calculator!AW$9)*10000)+Volatilities_Resets!$U64)),IF(AU75&gt;=AW$8,IF(AU75&lt;AX$8,(((Volatilities_Resets!$U64-Volatilities_Resets!$S64)/50)*((Calculator!AU75-Calculator!AW$8)*10000)+Volatilities_Resets!$S64)),IF(AU75&gt;=AW$7,IF(AU75&lt;AX$7,(((Volatilities_Resets!$S64-Volatilities_Resets!$Q64)/50)*((Calculator!AU75-Calculator!AW$7)*10000)+Volatilities_Resets!$Q64)),IF(AU75&gt;=AW$6,IF(AU75&lt;AX$6,(((Volatilities_Resets!$Q64-Volatilities_Resets!$O64)/50)*((Calculator!AU75-Calculator!AW$6)*10000)+Volatilities_Resets!$O64)),IF(AU75&gt;=AW$5,IF(AU75&lt;AX$5,(((Volatilities_Resets!$O64-Volatilities_Resets!$M64)/50)*((Calculator!AU75-Calculator!AW$5)*10000)+Volatilities_Resets!$M64)),IF(AU75&gt;=AW$4,IF(AU75&lt;AX$4,(((Volatilities_Resets!$M64-Volatilities_Resets!$K64)/50)*((Calculator!AU75-Calculator!AW$4)*10000)+Volatilities_Resets!$K64)),IF(AU75&gt;=AW$3,IF(AU75&lt;AX$3,(((Volatilities_Resets!$K64-Volatilities_Resets!$I64)/50)*((Calculator!AU75-Calculator!AW$3)*10000)+Volatilities_Resets!$I64)),IF(AU75&gt;=AW$2,IF(AU75&lt;AX$2,(((Volatilities_Resets!$I64-Volatilities_Resets!$G64)/50)*((Calculator!AU75-Calculator!AW$2)*10000)+Volatilities_Resets!$G64)),"Well, something broke...")))))))))))/10000</f>
        <v>1.2098000000000001E-2</v>
      </c>
      <c r="AX75" s="63">
        <f t="shared" ca="1" si="30"/>
        <v>16614.895813335945</v>
      </c>
      <c r="AY75" s="63">
        <f t="shared" ca="1" si="31"/>
        <v>6.7065102671795432E-4</v>
      </c>
      <c r="AZ75" s="63">
        <f t="shared" ca="1" si="46"/>
        <v>1202110.3037780917</v>
      </c>
      <c r="BC75" s="63">
        <f t="shared" ca="1" si="8"/>
        <v>121.77187831632551</v>
      </c>
      <c r="BD75" s="63">
        <f ca="1">SUM($BC$15:BC75)</f>
        <v>5573.7202962289575</v>
      </c>
      <c r="BF75" s="52">
        <f ca="1">EXP(-AVERAGE(AV$15:AV75)*AS75)</f>
        <v>0.80441270489857408</v>
      </c>
      <c r="BH75" s="52">
        <f t="shared" ca="1" si="32"/>
        <v>61</v>
      </c>
      <c r="BI75" s="71">
        <f t="shared" ca="1" si="33"/>
        <v>47018</v>
      </c>
      <c r="BJ75" s="71">
        <f t="shared" ca="1" si="9"/>
        <v>47048</v>
      </c>
      <c r="BK75" s="72">
        <f t="shared" ca="1" si="10"/>
        <v>30</v>
      </c>
      <c r="BL75" s="73">
        <f ca="1">SUM(BK$15:BK75)/360</f>
        <v>5.1583333333333332</v>
      </c>
      <c r="BM75" s="74">
        <f t="shared" si="11"/>
        <v>25000000</v>
      </c>
      <c r="BN75" s="59">
        <f t="shared" si="34"/>
        <v>0.05</v>
      </c>
      <c r="BO75" s="57">
        <f>Volatilities_Resets!$E64*0.01</f>
        <v>3.7837200000000001E-2</v>
      </c>
      <c r="BP75" s="61">
        <f>IF(BN75=BQ$11,Volatilities_Resets!$AA64,IF(BN75&gt;=BP$11,IF(BN75&lt;BQ$11,(((Volatilities_Resets!$AA64-Volatilities_Resets!$Y64)/50)*((Calculator!BN75-Calculator!BP$11)*10000)+Volatilities_Resets!$Y64)),IF(BN75&gt;=BP$10,IF(BN75&lt;BQ$10,(((Volatilities_Resets!$Y64-Volatilities_Resets!$W64)/50)*((Calculator!BN75-Calculator!BP$10)*10000)+Volatilities_Resets!$W64)),IF(BN75&gt;=BP$9,IF(BN75&lt;BQ$9,(((Volatilities_Resets!$W64-Volatilities_Resets!$U64)/50)*((Calculator!BN75-Calculator!BP$9)*10000)+Volatilities_Resets!$U64)),IF(BN75&gt;=BP$8,IF(BN75&lt;BQ$8,(((Volatilities_Resets!$U64-Volatilities_Resets!$S64)/50)*((Calculator!BN75-Calculator!BP$8)*10000)+Volatilities_Resets!$S64)),IF(BN75&gt;=BP$7,IF(BN75&lt;BQ$7,(((Volatilities_Resets!$S64-Volatilities_Resets!$Q64)/50)*((Calculator!BN75-Calculator!BP$7)*10000)+Volatilities_Resets!$Q64)),IF(BN75&gt;=BP$6,IF(BN75&lt;BQ$6,(((Volatilities_Resets!$Q64-Volatilities_Resets!$O64)/50)*((Calculator!BN75-Calculator!BP$6)*10000)+Volatilities_Resets!$O64)),IF(BN75&gt;=BP$5,IF(BN75&lt;BQ$5,(((Volatilities_Resets!$O64-Volatilities_Resets!$M64)/50)*((Calculator!BN75-Calculator!BP$5)*10000)+Volatilities_Resets!$M64)),IF(BN75&gt;=BP$4,IF(BN75&lt;BQ$4,(((Volatilities_Resets!$M64-Volatilities_Resets!$K64)/50)*((Calculator!BN75-Calculator!BP$4)*10000)+Volatilities_Resets!$K64)),IF(BN75&gt;=BP$3,IF(BN75&lt;BQ$3,(((Volatilities_Resets!$K64-Volatilities_Resets!$I64)/50)*((Calculator!BN75-Calculator!BP$3)*10000)+Volatilities_Resets!$I64)),IF(BN75&gt;=BP$2,IF(BN75&lt;BQ$2,(((Volatilities_Resets!$I64-Volatilities_Resets!$G64)/50)*((Calculator!BN75-Calculator!BP$2)*10000)+Volatilities_Resets!$G64)),"Well, something broke...")))))))))))/10000</f>
        <v>1.277E-2</v>
      </c>
      <c r="BQ75" s="63">
        <f t="shared" ca="1" si="35"/>
        <v>10879.623009397008</v>
      </c>
      <c r="BR75" s="63">
        <f t="shared" ca="1" si="36"/>
        <v>4.4075127544802259E-4</v>
      </c>
      <c r="BS75" s="63">
        <f t="shared" ca="1" si="47"/>
        <v>595902.04874853091</v>
      </c>
      <c r="BV75" s="63">
        <f t="shared" ca="1" si="37"/>
        <v>111.94116850019705</v>
      </c>
      <c r="BW75" s="63">
        <f ca="1">SUM($BV$15:BV75)</f>
        <v>5415.1876992871403</v>
      </c>
      <c r="BY75" s="52">
        <f ca="1">EXP(-AVERAGE(BO$15:BO75)*BL75)</f>
        <v>0.80441270489857408</v>
      </c>
      <c r="CA75" s="52">
        <f t="shared" ca="1" si="38"/>
        <v>61</v>
      </c>
      <c r="CB75" s="71">
        <f t="shared" ca="1" si="39"/>
        <v>47018</v>
      </c>
      <c r="CC75" s="71">
        <f t="shared" ca="1" si="12"/>
        <v>47048</v>
      </c>
      <c r="CD75" s="72">
        <f t="shared" ca="1" si="13"/>
        <v>30</v>
      </c>
      <c r="CE75" s="73">
        <f ca="1">SUM(CD$15:CD75)/360</f>
        <v>5.1583333333333332</v>
      </c>
      <c r="CF75" s="74">
        <f t="shared" si="14"/>
        <v>25000000</v>
      </c>
      <c r="CG75" s="59">
        <f t="shared" si="40"/>
        <v>0.06</v>
      </c>
      <c r="CH75" s="57">
        <f>Volatilities_Resets!$E64*0.01</f>
        <v>3.7837200000000001E-2</v>
      </c>
      <c r="CI75" s="61">
        <f>IF(CG75=CJ$11,Volatilities_Resets!$AA64,IF(CG75&gt;=CI$11,IF(CG75&lt;CJ$11,(((Volatilities_Resets!$AA64-Volatilities_Resets!$Y64)/50)*((Calculator!CG75-Calculator!CI$11)*10000)+Volatilities_Resets!$Y64)),IF(CG75&gt;=CI$10,IF(CG75&lt;CJ$10,(((Volatilities_Resets!$Y64-Volatilities_Resets!$W64)/50)*((Calculator!CG75-Calculator!CI$10)*10000)+Volatilities_Resets!$W64)),IF(CG75&gt;=CI$9,IF(CG75&lt;CJ$9,(((Volatilities_Resets!$W64-Volatilities_Resets!$U64)/50)*((Calculator!CG75-Calculator!CI$9)*10000)+Volatilities_Resets!$U64)),IF(CG75&gt;=CI$8,IF(CG75&lt;CJ$8,(((Volatilities_Resets!$U64-Volatilities_Resets!$S64)/50)*((Calculator!CG75-Calculator!CI$8)*10000)+Volatilities_Resets!$S64)),IF(CG75&gt;=CI$7,IF(CG75&lt;CJ$7,(((Volatilities_Resets!$S64-Volatilities_Resets!$Q64)/50)*((Calculator!CG75-Calculator!CI$7)*10000)+Volatilities_Resets!$Q64)),IF(CG75&gt;=CI$6,IF(CG75&lt;CJ$6,(((Volatilities_Resets!$Q64-Volatilities_Resets!$O64)/50)*((Calculator!CG75-Calculator!CI$6)*10000)+Volatilities_Resets!$O64)),IF(CG75&gt;=CI$5,IF(CG75&lt;CJ$5,(((Volatilities_Resets!$O64-Volatilities_Resets!$M64)/50)*((Calculator!CG75-Calculator!CI$5)*10000)+Volatilities_Resets!$M64)),IF(CG75&gt;=CI$4,IF(CG75&lt;CJ$4,(((Volatilities_Resets!$M64-Volatilities_Resets!$K64)/50)*((Calculator!CG75-Calculator!CI$4)*10000)+Volatilities_Resets!$K64)),IF(CG75&gt;=CI$3,IF(CG75&lt;CJ$3,(((Volatilities_Resets!$K64-Volatilities_Resets!$I64)/50)*((Calculator!CG75-Calculator!CI$3)*10000)+Volatilities_Resets!$I64)),IF(CG75&gt;=CI$2,IF(CG75&lt;CJ$2,(((Volatilities_Resets!$I64-Volatilities_Resets!$G64)/50)*((Calculator!CG75-Calculator!CI$2)*10000)+Volatilities_Resets!$G64)),"Well, something broke...")))))))))))/10000</f>
        <v>1.3659000000000001E-2</v>
      </c>
      <c r="CJ75" s="63">
        <f t="shared" ca="1" si="41"/>
        <v>7248.4919466255606</v>
      </c>
      <c r="CK75" s="63">
        <f t="shared" ca="1" si="42"/>
        <v>2.946542083254606E-4</v>
      </c>
      <c r="CL75" s="63">
        <f t="shared" ca="1" si="48"/>
        <v>277981.52290267352</v>
      </c>
      <c r="CO75" s="63">
        <f t="shared" ca="1" si="43"/>
        <v>94.81070500019473</v>
      </c>
      <c r="CP75" s="63">
        <f ca="1">SUM($CO$15:CO75)</f>
        <v>4147.4163836218395</v>
      </c>
      <c r="CR75" s="52">
        <f ca="1">EXP(-AVERAGE(CH$15:CH75)*CE75)</f>
        <v>0.80441270489857408</v>
      </c>
      <c r="CT75"/>
      <c r="CU75"/>
      <c r="CV75"/>
      <c r="CW75"/>
      <c r="CX75"/>
      <c r="CY75"/>
      <c r="CZ75"/>
      <c r="DA75"/>
      <c r="DB75"/>
      <c r="DC75"/>
      <c r="DD75"/>
      <c r="DE75"/>
      <c r="DF75"/>
      <c r="DG75"/>
      <c r="DH75"/>
      <c r="DI75"/>
      <c r="DJ75"/>
      <c r="DK75"/>
      <c r="DL75"/>
    </row>
    <row r="76" spans="2:116" ht="15.75" customHeight="1" x14ac:dyDescent="0.2">
      <c r="B76" s="52">
        <v>6</v>
      </c>
      <c r="C76" s="52">
        <f t="shared" ca="1" si="52"/>
        <v>62</v>
      </c>
      <c r="D76" s="71">
        <f t="shared" ca="1" si="16"/>
        <v>47048</v>
      </c>
      <c r="E76" s="71">
        <f t="shared" ca="1" si="53"/>
        <v>47079</v>
      </c>
      <c r="F76" s="72">
        <f t="shared" ca="1" si="54"/>
        <v>31</v>
      </c>
      <c r="G76" s="73">
        <f ca="1">SUM($F$15:F76)/360</f>
        <v>5.2444444444444445</v>
      </c>
      <c r="H76" s="74">
        <f t="shared" si="2"/>
        <v>25000000</v>
      </c>
      <c r="I76" s="59">
        <f>IF('Cap Pricer'!$E$22=DataValidation!$C$2,'Cap Pricer'!$E$23,IF('Cap Pricer'!$E$22=DataValidation!$C$3,VLOOKUP($B76,'Cap Pricer'!$C$25:$E$31,3),""))</f>
        <v>0.02</v>
      </c>
      <c r="J76" s="57">
        <f>Volatilities_Resets!$E65*0.01</f>
        <v>3.7860499999999998E-2</v>
      </c>
      <c r="K76" s="61">
        <f>IF(I76=L$11,Volatilities_Resets!$AA65,IF(I76&gt;=K$11,IF(I76&lt;L$11,(((Volatilities_Resets!$AA65-Volatilities_Resets!$Y65)/50)*((Calculator!I76-Calculator!K$11)*10000)+Volatilities_Resets!$Y65)),IF(I76&gt;=K$10,IF(I76&lt;L$10,(((Volatilities_Resets!$Y65-Volatilities_Resets!$W65)/50)*((Calculator!I76-Calculator!K$10)*10000)+Volatilities_Resets!$W65)),IF(I76&gt;=K$9,IF(I76&lt;L$9,(((Volatilities_Resets!$W65-Volatilities_Resets!$U65)/50)*((Calculator!I76-Calculator!K$9)*10000)+Volatilities_Resets!$U65)),IF(I76&gt;=K$8,IF(I76&lt;L$8,(((Volatilities_Resets!$U65-Volatilities_Resets!$S65)/50)*((Calculator!I76-Calculator!K$8)*10000)+Volatilities_Resets!$S65)),IF(I76&gt;=K$7,IF(I76&lt;L$7,(((Volatilities_Resets!$S65-Volatilities_Resets!$Q65)/50)*((Calculator!I76-Calculator!K$7)*10000)+Volatilities_Resets!$Q65)),IF(I76&gt;=K$6,IF(I76&lt;L$6,(((Volatilities_Resets!$Q65-Volatilities_Resets!$O65)/50)*((Calculator!I76-Calculator!K$6)*10000)+Volatilities_Resets!$O65)),IF(I76&gt;=K$5,IF(I76&lt;L$5,(((Volatilities_Resets!$O65-Volatilities_Resets!$M65)/50)*((Calculator!I76-Calculator!K$5)*10000)+Volatilities_Resets!$M65)),IF(I76&gt;=K$4,IF(I76&lt;L$4,(((Volatilities_Resets!$M65-Volatilities_Resets!$K65)/50)*((Calculator!I76-Calculator!K$4)*10000)+Volatilities_Resets!$K65)),IF(I76&gt;=K$3,IF(I76&lt;L$3,(((Volatilities_Resets!$K65-Volatilities_Resets!$I65)/50)*((Calculator!I76-Calculator!K$3)*10000)+Volatilities_Resets!$I65)),IF(I76&gt;=K$2,IF(I76&lt;L$2,(((Volatilities_Resets!$I65-Volatilities_Resets!$G65)/50)*((Calculator!I76-Calculator!K$2)*10000)+Volatilities_Resets!$G65)),"Well, something broke...")))))))))))/10000</f>
        <v>1.1609E-2</v>
      </c>
      <c r="L76" s="47">
        <f t="shared" ca="1" si="17"/>
        <v>37703.750629698254</v>
      </c>
      <c r="M76" s="63">
        <f t="shared" ca="1" si="18"/>
        <v>1.5131932752338881E-3</v>
      </c>
      <c r="N76" s="63">
        <f t="shared" ca="1" si="55"/>
        <v>2947576.6071276776</v>
      </c>
      <c r="Q76" s="63">
        <f t="shared" ca="1" si="19"/>
        <v>101.09057669904657</v>
      </c>
      <c r="R76" s="63">
        <f ca="1">SUM($Q$15:Q76)</f>
        <v>4294.3321808356141</v>
      </c>
      <c r="T76" s="52">
        <f ca="1">EXP(-AVERAGE(J$15:J76)*G76)</f>
        <v>0.80178913024601228</v>
      </c>
      <c r="U76" s="57"/>
      <c r="V76" s="52">
        <f t="shared" ca="1" si="20"/>
        <v>62</v>
      </c>
      <c r="W76" s="71">
        <f t="shared" ca="1" si="21"/>
        <v>47048</v>
      </c>
      <c r="X76" s="71">
        <f t="shared" ca="1" si="3"/>
        <v>47079</v>
      </c>
      <c r="Y76" s="72">
        <f t="shared" ca="1" si="4"/>
        <v>31</v>
      </c>
      <c r="Z76" s="73">
        <f ca="1">SUM(Y$15:Y76)/360</f>
        <v>5.2444444444444445</v>
      </c>
      <c r="AA76" s="74">
        <f t="shared" si="22"/>
        <v>25000000</v>
      </c>
      <c r="AB76" s="59">
        <f t="shared" si="23"/>
        <v>0.03</v>
      </c>
      <c r="AC76" s="57">
        <f>Volatilities_Resets!$E65*0.01</f>
        <v>3.7860499999999998E-2</v>
      </c>
      <c r="AD76" s="61">
        <f>IF(AB76=AE$11,Volatilities_Resets!$AA65,IF(AB76&gt;=AD$11,IF(AB76&lt;AE$11,(((Volatilities_Resets!$AA65-Volatilities_Resets!$Y65)/50)*((Calculator!AB76-Calculator!AD$11)*10000)+Volatilities_Resets!$Y65)),IF(AB76&gt;=AD$10,IF(AB76&lt;AE$10,(((Volatilities_Resets!$Y65-Volatilities_Resets!$W65)/50)*((Calculator!AB76-Calculator!AD$10)*10000)+Volatilities_Resets!$W65)),IF(AB76&gt;=AD$9,IF(AB76&lt;AE$9,(((Volatilities_Resets!$W65-Volatilities_Resets!$U65)/50)*((Calculator!AB76-Calculator!AD$9)*10000)+Volatilities_Resets!$U65)),IF(AB76&gt;=AD$8,IF(AB76&lt;AE$8,(((Volatilities_Resets!$U65-Volatilities_Resets!$S65)/50)*((Calculator!AB76-Calculator!AD$8)*10000)+Volatilities_Resets!$S65)),IF(AB76&gt;=AD$7,IF(AB76&lt;AE$7,(((Volatilities_Resets!$S65-Volatilities_Resets!$Q65)/50)*((Calculator!AB76-Calculator!AD$7)*10000)+Volatilities_Resets!$Q65)),IF(AB76&gt;=AD$6,IF(AB76&lt;AE$6,(((Volatilities_Resets!$Q65-Volatilities_Resets!$O65)/50)*((Calculator!AB76-Calculator!AD$6)*10000)+Volatilities_Resets!$O65)),IF(AB76&gt;=AD$5,IF(AB76&lt;AE$5,(((Volatilities_Resets!$O65-Volatilities_Resets!$M65)/50)*((Calculator!AB76-Calculator!AD$5)*10000)+Volatilities_Resets!$M65)),IF(AB76&gt;=AD$4,IF(AB76&lt;AE$4,(((Volatilities_Resets!$M65-Volatilities_Resets!$K65)/50)*((Calculator!AB76-Calculator!AD$4)*10000)+Volatilities_Resets!$K65)),IF(AB76&gt;=AD$3,IF(AB76&lt;AE$3,(((Volatilities_Resets!$K65-Volatilities_Resets!$I65)/50)*((Calculator!AB76-Calculator!AD$3)*10000)+Volatilities_Resets!$I65)),IF(AB76&gt;=AD$2,IF(AB76&lt;AE$2,(((Volatilities_Resets!$I65-Volatilities_Resets!$G65)/50)*((Calculator!AB76-Calculator!AD$2)*10000)+Volatilities_Resets!$G65)),"Well, something broke...")))))))))))/10000</f>
        <v>1.1704000000000001E-2</v>
      </c>
      <c r="AE76" s="63">
        <f t="shared" ca="1" si="24"/>
        <v>26028.63642117945</v>
      </c>
      <c r="AF76" s="63">
        <f t="shared" ca="1" si="25"/>
        <v>1.0471899693552033E-3</v>
      </c>
      <c r="AG76" s="63">
        <f t="shared" ca="1" si="45"/>
        <v>2022942.8450817431</v>
      </c>
      <c r="AJ76" s="63">
        <f t="shared" ca="1" si="26"/>
        <v>121.16061066426981</v>
      </c>
      <c r="AK76" s="63">
        <f ca="1">SUM($AJ$15:AJ76)</f>
        <v>5252.8733770928902</v>
      </c>
      <c r="AM76" s="52">
        <f ca="1">EXP(-AVERAGE(AC$15:AC76)*Z76)</f>
        <v>0.80178913024601228</v>
      </c>
      <c r="AO76" s="52">
        <f t="shared" ca="1" si="27"/>
        <v>62</v>
      </c>
      <c r="AP76" s="71">
        <f t="shared" ca="1" si="28"/>
        <v>47048</v>
      </c>
      <c r="AQ76" s="71">
        <f t="shared" ca="1" si="5"/>
        <v>47079</v>
      </c>
      <c r="AR76" s="72">
        <f t="shared" ca="1" si="6"/>
        <v>31</v>
      </c>
      <c r="AS76" s="73">
        <f ca="1">SUM(AR$15:AR76)/360</f>
        <v>5.2444444444444445</v>
      </c>
      <c r="AT76" s="74">
        <f t="shared" si="7"/>
        <v>25000000</v>
      </c>
      <c r="AU76" s="59">
        <f t="shared" si="29"/>
        <v>0.04</v>
      </c>
      <c r="AV76" s="57">
        <f>Volatilities_Resets!$E65*0.01</f>
        <v>3.7860499999999998E-2</v>
      </c>
      <c r="AW76" s="61">
        <f>IF(AU76=AX$11,Volatilities_Resets!$AA65,IF(AU76&gt;=AW$11,IF(AU76&lt;AX$11,(((Volatilities_Resets!$AA65-Volatilities_Resets!$Y65)/50)*((Calculator!AU76-Calculator!AW$11)*10000)+Volatilities_Resets!$Y65)),IF(AU76&gt;=AW$10,IF(AU76&lt;AX$10,(((Volatilities_Resets!$Y65-Volatilities_Resets!$W65)/50)*((Calculator!AU76-Calculator!AW$10)*10000)+Volatilities_Resets!$W65)),IF(AU76&gt;=AW$9,IF(AU76&lt;AX$9,(((Volatilities_Resets!$W65-Volatilities_Resets!$U65)/50)*((Calculator!AU76-Calculator!AW$9)*10000)+Volatilities_Resets!$U65)),IF(AU76&gt;=AW$8,IF(AU76&lt;AX$8,(((Volatilities_Resets!$U65-Volatilities_Resets!$S65)/50)*((Calculator!AU76-Calculator!AW$8)*10000)+Volatilities_Resets!$S65)),IF(AU76&gt;=AW$7,IF(AU76&lt;AX$7,(((Volatilities_Resets!$S65-Volatilities_Resets!$Q65)/50)*((Calculator!AU76-Calculator!AW$7)*10000)+Volatilities_Resets!$Q65)),IF(AU76&gt;=AW$6,IF(AU76&lt;AX$6,(((Volatilities_Resets!$Q65-Volatilities_Resets!$O65)/50)*((Calculator!AU76-Calculator!AW$6)*10000)+Volatilities_Resets!$O65)),IF(AU76&gt;=AW$5,IF(AU76&lt;AX$5,(((Volatilities_Resets!$O65-Volatilities_Resets!$M65)/50)*((Calculator!AU76-Calculator!AW$5)*10000)+Volatilities_Resets!$M65)),IF(AU76&gt;=AW$4,IF(AU76&lt;AX$4,(((Volatilities_Resets!$M65-Volatilities_Resets!$K65)/50)*((Calculator!AU76-Calculator!AW$4)*10000)+Volatilities_Resets!$K65)),IF(AU76&gt;=AW$3,IF(AU76&lt;AX$3,(((Volatilities_Resets!$K65-Volatilities_Resets!$I65)/50)*((Calculator!AU76-Calculator!AW$3)*10000)+Volatilities_Resets!$I65)),IF(AU76&gt;=AW$2,IF(AU76&lt;AX$2,(((Volatilities_Resets!$I65-Volatilities_Resets!$G65)/50)*((Calculator!AU76-Calculator!AW$2)*10000)+Volatilities_Resets!$G65)),"Well, something broke...")))))))))))/10000</f>
        <v>1.209E-2</v>
      </c>
      <c r="AX76" s="63">
        <f t="shared" ca="1" si="30"/>
        <v>17275.807750035001</v>
      </c>
      <c r="AY76" s="63">
        <f t="shared" ca="1" si="31"/>
        <v>6.9732147723127673E-4</v>
      </c>
      <c r="AZ76" s="63">
        <f t="shared" ca="1" si="46"/>
        <v>1219386.1115281268</v>
      </c>
      <c r="BC76" s="63">
        <f t="shared" ca="1" si="8"/>
        <v>126.06464808036368</v>
      </c>
      <c r="BD76" s="63">
        <f ca="1">SUM($BC$15:BC76)</f>
        <v>5699.784944309321</v>
      </c>
      <c r="BF76" s="52">
        <f ca="1">EXP(-AVERAGE(AV$15:AV76)*AS76)</f>
        <v>0.80178913024601228</v>
      </c>
      <c r="BH76" s="52">
        <f t="shared" ca="1" si="32"/>
        <v>62</v>
      </c>
      <c r="BI76" s="71">
        <f t="shared" ca="1" si="33"/>
        <v>47048</v>
      </c>
      <c r="BJ76" s="71">
        <f t="shared" ca="1" si="9"/>
        <v>47079</v>
      </c>
      <c r="BK76" s="72">
        <f t="shared" ca="1" si="10"/>
        <v>31</v>
      </c>
      <c r="BL76" s="73">
        <f ca="1">SUM(BK$15:BK76)/360</f>
        <v>5.2444444444444445</v>
      </c>
      <c r="BM76" s="74">
        <f t="shared" si="11"/>
        <v>25000000</v>
      </c>
      <c r="BN76" s="59">
        <f t="shared" si="34"/>
        <v>0.05</v>
      </c>
      <c r="BO76" s="57">
        <f>Volatilities_Resets!$E65*0.01</f>
        <v>3.7860499999999998E-2</v>
      </c>
      <c r="BP76" s="61">
        <f>IF(BN76=BQ$11,Volatilities_Resets!$AA65,IF(BN76&gt;=BP$11,IF(BN76&lt;BQ$11,(((Volatilities_Resets!$AA65-Volatilities_Resets!$Y65)/50)*((Calculator!BN76-Calculator!BP$11)*10000)+Volatilities_Resets!$Y65)),IF(BN76&gt;=BP$10,IF(BN76&lt;BQ$10,(((Volatilities_Resets!$Y65-Volatilities_Resets!$W65)/50)*((Calculator!BN76-Calculator!BP$10)*10000)+Volatilities_Resets!$W65)),IF(BN76&gt;=BP$9,IF(BN76&lt;BQ$9,(((Volatilities_Resets!$W65-Volatilities_Resets!$U65)/50)*((Calculator!BN76-Calculator!BP$9)*10000)+Volatilities_Resets!$U65)),IF(BN76&gt;=BP$8,IF(BN76&lt;BQ$8,(((Volatilities_Resets!$U65-Volatilities_Resets!$S65)/50)*((Calculator!BN76-Calculator!BP$8)*10000)+Volatilities_Resets!$S65)),IF(BN76&gt;=BP$7,IF(BN76&lt;BQ$7,(((Volatilities_Resets!$S65-Volatilities_Resets!$Q65)/50)*((Calculator!BN76-Calculator!BP$7)*10000)+Volatilities_Resets!$Q65)),IF(BN76&gt;=BP$6,IF(BN76&lt;BQ$6,(((Volatilities_Resets!$Q65-Volatilities_Resets!$O65)/50)*((Calculator!BN76-Calculator!BP$6)*10000)+Volatilities_Resets!$O65)),IF(BN76&gt;=BP$5,IF(BN76&lt;BQ$5,(((Volatilities_Resets!$O65-Volatilities_Resets!$M65)/50)*((Calculator!BN76-Calculator!BP$5)*10000)+Volatilities_Resets!$M65)),IF(BN76&gt;=BP$4,IF(BN76&lt;BQ$4,(((Volatilities_Resets!$M65-Volatilities_Resets!$K65)/50)*((Calculator!BN76-Calculator!BP$4)*10000)+Volatilities_Resets!$K65)),IF(BN76&gt;=BP$3,IF(BN76&lt;BQ$3,(((Volatilities_Resets!$K65-Volatilities_Resets!$I65)/50)*((Calculator!BN76-Calculator!BP$3)*10000)+Volatilities_Resets!$I65)),IF(BN76&gt;=BP$2,IF(BN76&lt;BQ$2,(((Volatilities_Resets!$I65-Volatilities_Resets!$G65)/50)*((Calculator!BN76-Calculator!BP$2)*10000)+Volatilities_Resets!$G65)),"Well, something broke...")))))))))))/10000</f>
        <v>1.2761E-2</v>
      </c>
      <c r="BQ76" s="63">
        <f t="shared" ca="1" si="35"/>
        <v>11358.365475102251</v>
      </c>
      <c r="BR76" s="63">
        <f t="shared" ca="1" si="36"/>
        <v>4.6012490829512608E-4</v>
      </c>
      <c r="BS76" s="63">
        <f t="shared" ca="1" si="47"/>
        <v>607260.41422363312</v>
      </c>
      <c r="BV76" s="63">
        <f t="shared" ca="1" si="37"/>
        <v>116.06477536331469</v>
      </c>
      <c r="BW76" s="63">
        <f ca="1">SUM($BV$15:BV76)</f>
        <v>5531.252474650455</v>
      </c>
      <c r="BY76" s="52">
        <f ca="1">EXP(-AVERAGE(BO$15:BO76)*BL76)</f>
        <v>0.80178913024601228</v>
      </c>
      <c r="CA76" s="52">
        <f t="shared" ca="1" si="38"/>
        <v>62</v>
      </c>
      <c r="CB76" s="71">
        <f t="shared" ca="1" si="39"/>
        <v>47048</v>
      </c>
      <c r="CC76" s="71">
        <f t="shared" ca="1" si="12"/>
        <v>47079</v>
      </c>
      <c r="CD76" s="72">
        <f t="shared" ca="1" si="13"/>
        <v>31</v>
      </c>
      <c r="CE76" s="73">
        <f ca="1">SUM(CD$15:CD76)/360</f>
        <v>5.2444444444444445</v>
      </c>
      <c r="CF76" s="74">
        <f t="shared" si="14"/>
        <v>25000000</v>
      </c>
      <c r="CG76" s="59">
        <f t="shared" si="40"/>
        <v>0.06</v>
      </c>
      <c r="CH76" s="57">
        <f>Volatilities_Resets!$E65*0.01</f>
        <v>3.7860499999999998E-2</v>
      </c>
      <c r="CI76" s="61">
        <f>IF(CG76=CJ$11,Volatilities_Resets!$AA65,IF(CG76&gt;=CI$11,IF(CG76&lt;CJ$11,(((Volatilities_Resets!$AA65-Volatilities_Resets!$Y65)/50)*((Calculator!CG76-Calculator!CI$11)*10000)+Volatilities_Resets!$Y65)),IF(CG76&gt;=CI$10,IF(CG76&lt;CJ$10,(((Volatilities_Resets!$Y65-Volatilities_Resets!$W65)/50)*((Calculator!CG76-Calculator!CI$10)*10000)+Volatilities_Resets!$W65)),IF(CG76&gt;=CI$9,IF(CG76&lt;CJ$9,(((Volatilities_Resets!$W65-Volatilities_Resets!$U65)/50)*((Calculator!CG76-Calculator!CI$9)*10000)+Volatilities_Resets!$U65)),IF(CG76&gt;=CI$8,IF(CG76&lt;CJ$8,(((Volatilities_Resets!$U65-Volatilities_Resets!$S65)/50)*((Calculator!CG76-Calculator!CI$8)*10000)+Volatilities_Resets!$S65)),IF(CG76&gt;=CI$7,IF(CG76&lt;CJ$7,(((Volatilities_Resets!$S65-Volatilities_Resets!$Q65)/50)*((Calculator!CG76-Calculator!CI$7)*10000)+Volatilities_Resets!$Q65)),IF(CG76&gt;=CI$6,IF(CG76&lt;CJ$6,(((Volatilities_Resets!$Q65-Volatilities_Resets!$O65)/50)*((Calculator!CG76-Calculator!CI$6)*10000)+Volatilities_Resets!$O65)),IF(CG76&gt;=CI$5,IF(CG76&lt;CJ$5,(((Volatilities_Resets!$O65-Volatilities_Resets!$M65)/50)*((Calculator!CG76-Calculator!CI$5)*10000)+Volatilities_Resets!$M65)),IF(CG76&gt;=CI$4,IF(CG76&lt;CJ$4,(((Volatilities_Resets!$M65-Volatilities_Resets!$K65)/50)*((Calculator!CG76-Calculator!CI$4)*10000)+Volatilities_Resets!$K65)),IF(CG76&gt;=CI$3,IF(CG76&lt;CJ$3,(((Volatilities_Resets!$K65-Volatilities_Resets!$I65)/50)*((Calculator!CG76-Calculator!CI$3)*10000)+Volatilities_Resets!$I65)),IF(CG76&gt;=CI$2,IF(CG76&lt;CJ$2,(((Volatilities_Resets!$I65-Volatilities_Resets!$G65)/50)*((Calculator!CG76-Calculator!CI$2)*10000)+Volatilities_Resets!$G65)),"Well, something broke...")))))))))))/10000</f>
        <v>1.3649000000000001E-2</v>
      </c>
      <c r="CJ76" s="63">
        <f t="shared" ca="1" si="41"/>
        <v>7600.8977622696357</v>
      </c>
      <c r="CK76" s="63">
        <f t="shared" ca="1" si="42"/>
        <v>3.089532637135872E-4</v>
      </c>
      <c r="CL76" s="63">
        <f t="shared" ca="1" si="48"/>
        <v>285582.42066494317</v>
      </c>
      <c r="CO76" s="63">
        <f t="shared" ca="1" si="43"/>
        <v>98.567009090566287</v>
      </c>
      <c r="CP76" s="63">
        <f ca="1">SUM($CO$15:CO76)</f>
        <v>4245.9833927124055</v>
      </c>
      <c r="CR76" s="52">
        <f ca="1">EXP(-AVERAGE(CH$15:CH76)*CE76)</f>
        <v>0.80178913024601228</v>
      </c>
      <c r="CT76"/>
      <c r="CU76"/>
      <c r="CV76"/>
      <c r="CW76"/>
      <c r="CX76"/>
      <c r="CY76"/>
      <c r="CZ76"/>
      <c r="DA76"/>
      <c r="DB76"/>
      <c r="DC76"/>
      <c r="DD76"/>
      <c r="DE76"/>
      <c r="DF76"/>
      <c r="DG76"/>
      <c r="DH76"/>
      <c r="DI76"/>
      <c r="DJ76"/>
      <c r="DK76"/>
      <c r="DL76"/>
    </row>
    <row r="77" spans="2:116" ht="15.75" customHeight="1" x14ac:dyDescent="0.2">
      <c r="B77" s="52">
        <v>6</v>
      </c>
      <c r="C77" s="52">
        <f t="shared" ca="1" si="52"/>
        <v>63</v>
      </c>
      <c r="D77" s="71">
        <f t="shared" ca="1" si="16"/>
        <v>47079</v>
      </c>
      <c r="E77" s="71">
        <f t="shared" ca="1" si="53"/>
        <v>47109</v>
      </c>
      <c r="F77" s="72">
        <f t="shared" ca="1" si="54"/>
        <v>30</v>
      </c>
      <c r="G77" s="73">
        <f ca="1">SUM($F$15:F77)/360</f>
        <v>5.3277777777777775</v>
      </c>
      <c r="H77" s="74">
        <f t="shared" si="2"/>
        <v>25000000</v>
      </c>
      <c r="I77" s="59">
        <f>IF('Cap Pricer'!$E$22=DataValidation!$C$2,'Cap Pricer'!$E$23,IF('Cap Pricer'!$E$22=DataValidation!$C$3,VLOOKUP($B77,'Cap Pricer'!$C$25:$E$31,3),""))</f>
        <v>0.02</v>
      </c>
      <c r="J77" s="57">
        <f>Volatilities_Resets!$E66*0.01</f>
        <v>3.7854600000000002E-2</v>
      </c>
      <c r="K77" s="61">
        <f>IF(I77=L$11,Volatilities_Resets!$AA66,IF(I77&gt;=K$11,IF(I77&lt;L$11,(((Volatilities_Resets!$AA66-Volatilities_Resets!$Y66)/50)*((Calculator!I77-Calculator!K$11)*10000)+Volatilities_Resets!$Y66)),IF(I77&gt;=K$10,IF(I77&lt;L$10,(((Volatilities_Resets!$Y66-Volatilities_Resets!$W66)/50)*((Calculator!I77-Calculator!K$10)*10000)+Volatilities_Resets!$W66)),IF(I77&gt;=K$9,IF(I77&lt;L$9,(((Volatilities_Resets!$W66-Volatilities_Resets!$U66)/50)*((Calculator!I77-Calculator!K$9)*10000)+Volatilities_Resets!$U66)),IF(I77&gt;=K$8,IF(I77&lt;L$8,(((Volatilities_Resets!$U66-Volatilities_Resets!$S66)/50)*((Calculator!I77-Calculator!K$8)*10000)+Volatilities_Resets!$S66)),IF(I77&gt;=K$7,IF(I77&lt;L$7,(((Volatilities_Resets!$S66-Volatilities_Resets!$Q66)/50)*((Calculator!I77-Calculator!K$7)*10000)+Volatilities_Resets!$Q66)),IF(I77&gt;=K$6,IF(I77&lt;L$6,(((Volatilities_Resets!$Q66-Volatilities_Resets!$O66)/50)*((Calculator!I77-Calculator!K$6)*10000)+Volatilities_Resets!$O66)),IF(I77&gt;=K$5,IF(I77&lt;L$5,(((Volatilities_Resets!$O66-Volatilities_Resets!$M66)/50)*((Calculator!I77-Calculator!K$5)*10000)+Volatilities_Resets!$M66)),IF(I77&gt;=K$4,IF(I77&lt;L$4,(((Volatilities_Resets!$M66-Volatilities_Resets!$K66)/50)*((Calculator!I77-Calculator!K$4)*10000)+Volatilities_Resets!$K66)),IF(I77&gt;=K$3,IF(I77&lt;L$3,(((Volatilities_Resets!$K66-Volatilities_Resets!$I66)/50)*((Calculator!I77-Calculator!K$3)*10000)+Volatilities_Resets!$I66)),IF(I77&gt;=K$2,IF(I77&lt;L$2,(((Volatilities_Resets!$I66-Volatilities_Resets!$G66)/50)*((Calculator!I77-Calculator!K$2)*10000)+Volatilities_Resets!$G66)),"Well, something broke...")))))))))))/10000</f>
        <v>1.1609E-2</v>
      </c>
      <c r="L77" s="47">
        <f t="shared" ca="1" si="17"/>
        <v>36477.152276898836</v>
      </c>
      <c r="M77" s="63">
        <f t="shared" ca="1" si="18"/>
        <v>1.4640077178332653E-3</v>
      </c>
      <c r="N77" s="63">
        <f t="shared" ca="1" si="55"/>
        <v>2984053.7594045764</v>
      </c>
      <c r="Q77" s="63">
        <f t="shared" ca="1" si="19"/>
        <v>98.342474663713162</v>
      </c>
      <c r="R77" s="63">
        <f ca="1">SUM($Q$15:Q77)</f>
        <v>4392.6746554993269</v>
      </c>
      <c r="T77" s="52">
        <f ca="1">EXP(-AVERAGE(J$15:J77)*G77)</f>
        <v>0.79926804297063558</v>
      </c>
      <c r="U77" s="57"/>
      <c r="V77" s="52">
        <f t="shared" ca="1" si="20"/>
        <v>63</v>
      </c>
      <c r="W77" s="71">
        <f t="shared" ca="1" si="21"/>
        <v>47079</v>
      </c>
      <c r="X77" s="71">
        <f t="shared" ca="1" si="3"/>
        <v>47109</v>
      </c>
      <c r="Y77" s="72">
        <f t="shared" ca="1" si="4"/>
        <v>30</v>
      </c>
      <c r="Z77" s="73">
        <f ca="1">SUM(Y$15:Y77)/360</f>
        <v>5.3277777777777775</v>
      </c>
      <c r="AA77" s="74">
        <f t="shared" si="22"/>
        <v>25000000</v>
      </c>
      <c r="AB77" s="59">
        <f t="shared" si="23"/>
        <v>0.03</v>
      </c>
      <c r="AC77" s="57">
        <f>Volatilities_Resets!$E66*0.01</f>
        <v>3.7854600000000002E-2</v>
      </c>
      <c r="AD77" s="61">
        <f>IF(AB77=AE$11,Volatilities_Resets!$AA66,IF(AB77&gt;=AD$11,IF(AB77&lt;AE$11,(((Volatilities_Resets!$AA66-Volatilities_Resets!$Y66)/50)*((Calculator!AB77-Calculator!AD$11)*10000)+Volatilities_Resets!$Y66)),IF(AB77&gt;=AD$10,IF(AB77&lt;AE$10,(((Volatilities_Resets!$Y66-Volatilities_Resets!$W66)/50)*((Calculator!AB77-Calculator!AD$10)*10000)+Volatilities_Resets!$W66)),IF(AB77&gt;=AD$9,IF(AB77&lt;AE$9,(((Volatilities_Resets!$W66-Volatilities_Resets!$U66)/50)*((Calculator!AB77-Calculator!AD$9)*10000)+Volatilities_Resets!$U66)),IF(AB77&gt;=AD$8,IF(AB77&lt;AE$8,(((Volatilities_Resets!$U66-Volatilities_Resets!$S66)/50)*((Calculator!AB77-Calculator!AD$8)*10000)+Volatilities_Resets!$S66)),IF(AB77&gt;=AD$7,IF(AB77&lt;AE$7,(((Volatilities_Resets!$S66-Volatilities_Resets!$Q66)/50)*((Calculator!AB77-Calculator!AD$7)*10000)+Volatilities_Resets!$Q66)),IF(AB77&gt;=AD$6,IF(AB77&lt;AE$6,(((Volatilities_Resets!$Q66-Volatilities_Resets!$O66)/50)*((Calculator!AB77-Calculator!AD$6)*10000)+Volatilities_Resets!$O66)),IF(AB77&gt;=AD$5,IF(AB77&lt;AE$5,(((Volatilities_Resets!$O66-Volatilities_Resets!$M66)/50)*((Calculator!AB77-Calculator!AD$5)*10000)+Volatilities_Resets!$M66)),IF(AB77&gt;=AD$4,IF(AB77&lt;AE$4,(((Volatilities_Resets!$M66-Volatilities_Resets!$K66)/50)*((Calculator!AB77-Calculator!AD$4)*10000)+Volatilities_Resets!$K66)),IF(AB77&gt;=AD$3,IF(AB77&lt;AE$3,(((Volatilities_Resets!$K66-Volatilities_Resets!$I66)/50)*((Calculator!AB77-Calculator!AD$3)*10000)+Volatilities_Resets!$I66)),IF(AB77&gt;=AD$2,IF(AB77&lt;AE$2,(((Volatilities_Resets!$I66-Volatilities_Resets!$G66)/50)*((Calculator!AB77-Calculator!AD$2)*10000)+Volatilities_Resets!$G66)),"Well, something broke...")))))))))))/10000</f>
        <v>1.1704000000000001E-2</v>
      </c>
      <c r="AE77" s="63">
        <f t="shared" ca="1" si="24"/>
        <v>25238.78177153998</v>
      </c>
      <c r="AF77" s="63">
        <f t="shared" ca="1" si="25"/>
        <v>1.0154328430222043E-3</v>
      </c>
      <c r="AG77" s="63">
        <f t="shared" ca="1" si="45"/>
        <v>2048181.626853283</v>
      </c>
      <c r="AJ77" s="63">
        <f t="shared" ca="1" si="26"/>
        <v>117.52381675993395</v>
      </c>
      <c r="AK77" s="63">
        <f ca="1">SUM($AJ$15:AJ77)</f>
        <v>5370.3971938528239</v>
      </c>
      <c r="AM77" s="52">
        <f ca="1">EXP(-AVERAGE(AC$15:AC77)*Z77)</f>
        <v>0.79926804297063558</v>
      </c>
      <c r="AO77" s="52">
        <f t="shared" ca="1" si="27"/>
        <v>63</v>
      </c>
      <c r="AP77" s="71">
        <f t="shared" ca="1" si="28"/>
        <v>47079</v>
      </c>
      <c r="AQ77" s="71">
        <f t="shared" ca="1" si="5"/>
        <v>47109</v>
      </c>
      <c r="AR77" s="72">
        <f t="shared" ca="1" si="6"/>
        <v>30</v>
      </c>
      <c r="AS77" s="73">
        <f ca="1">SUM(AR$15:AR77)/360</f>
        <v>5.3277777777777775</v>
      </c>
      <c r="AT77" s="74">
        <f t="shared" si="7"/>
        <v>25000000</v>
      </c>
      <c r="AU77" s="59">
        <f t="shared" si="29"/>
        <v>0.04</v>
      </c>
      <c r="AV77" s="57">
        <f>Volatilities_Resets!$E66*0.01</f>
        <v>3.7854600000000002E-2</v>
      </c>
      <c r="AW77" s="61">
        <f>IF(AU77=AX$11,Volatilities_Resets!$AA66,IF(AU77&gt;=AW$11,IF(AU77&lt;AX$11,(((Volatilities_Resets!$AA66-Volatilities_Resets!$Y66)/50)*((Calculator!AU77-Calculator!AW$11)*10000)+Volatilities_Resets!$Y66)),IF(AU77&gt;=AW$10,IF(AU77&lt;AX$10,(((Volatilities_Resets!$Y66-Volatilities_Resets!$W66)/50)*((Calculator!AU77-Calculator!AW$10)*10000)+Volatilities_Resets!$W66)),IF(AU77&gt;=AW$9,IF(AU77&lt;AX$9,(((Volatilities_Resets!$W66-Volatilities_Resets!$U66)/50)*((Calculator!AU77-Calculator!AW$9)*10000)+Volatilities_Resets!$U66)),IF(AU77&gt;=AW$8,IF(AU77&lt;AX$8,(((Volatilities_Resets!$U66-Volatilities_Resets!$S66)/50)*((Calculator!AU77-Calculator!AW$8)*10000)+Volatilities_Resets!$S66)),IF(AU77&gt;=AW$7,IF(AU77&lt;AX$7,(((Volatilities_Resets!$S66-Volatilities_Resets!$Q66)/50)*((Calculator!AU77-Calculator!AW$7)*10000)+Volatilities_Resets!$Q66)),IF(AU77&gt;=AW$6,IF(AU77&lt;AX$6,(((Volatilities_Resets!$Q66-Volatilities_Resets!$O66)/50)*((Calculator!AU77-Calculator!AW$6)*10000)+Volatilities_Resets!$O66)),IF(AU77&gt;=AW$5,IF(AU77&lt;AX$5,(((Volatilities_Resets!$O66-Volatilities_Resets!$M66)/50)*((Calculator!AU77-Calculator!AW$5)*10000)+Volatilities_Resets!$M66)),IF(AU77&gt;=AW$4,IF(AU77&lt;AX$4,(((Volatilities_Resets!$M66-Volatilities_Resets!$K66)/50)*((Calculator!AU77-Calculator!AW$4)*10000)+Volatilities_Resets!$K66)),IF(AU77&gt;=AW$3,IF(AU77&lt;AX$3,(((Volatilities_Resets!$K66-Volatilities_Resets!$I66)/50)*((Calculator!AU77-Calculator!AW$3)*10000)+Volatilities_Resets!$I66)),IF(AU77&gt;=AW$2,IF(AU77&lt;AX$2,(((Volatilities_Resets!$I66-Volatilities_Resets!$G66)/50)*((Calculator!AU77-Calculator!AW$2)*10000)+Volatilities_Resets!$G66)),"Well, something broke...")))))))))))/10000</f>
        <v>1.209E-2</v>
      </c>
      <c r="AX77" s="63">
        <f t="shared" ca="1" si="30"/>
        <v>16806.462830433218</v>
      </c>
      <c r="AY77" s="63">
        <f t="shared" ca="1" si="31"/>
        <v>6.7837386463062189E-4</v>
      </c>
      <c r="AZ77" s="63">
        <f t="shared" ca="1" si="46"/>
        <v>1236192.5743585599</v>
      </c>
      <c r="BC77" s="63">
        <f t="shared" ca="1" si="8"/>
        <v>122.19512390451453</v>
      </c>
      <c r="BD77" s="63">
        <f ca="1">SUM($BC$15:BC77)</f>
        <v>5821.9800682138357</v>
      </c>
      <c r="BF77" s="52">
        <f ca="1">EXP(-AVERAGE(AV$15:AV77)*AS77)</f>
        <v>0.79926804297063558</v>
      </c>
      <c r="BH77" s="52">
        <f t="shared" ca="1" si="32"/>
        <v>63</v>
      </c>
      <c r="BI77" s="71">
        <f t="shared" ca="1" si="33"/>
        <v>47079</v>
      </c>
      <c r="BJ77" s="71">
        <f t="shared" ca="1" si="9"/>
        <v>47109</v>
      </c>
      <c r="BK77" s="72">
        <f t="shared" ca="1" si="10"/>
        <v>30</v>
      </c>
      <c r="BL77" s="73">
        <f ca="1">SUM(BK$15:BK77)/360</f>
        <v>5.3277777777777775</v>
      </c>
      <c r="BM77" s="74">
        <f t="shared" si="11"/>
        <v>25000000</v>
      </c>
      <c r="BN77" s="59">
        <f t="shared" si="34"/>
        <v>0.05</v>
      </c>
      <c r="BO77" s="57">
        <f>Volatilities_Resets!$E66*0.01</f>
        <v>3.7854600000000002E-2</v>
      </c>
      <c r="BP77" s="61">
        <f>IF(BN77=BQ$11,Volatilities_Resets!$AA66,IF(BN77&gt;=BP$11,IF(BN77&lt;BQ$11,(((Volatilities_Resets!$AA66-Volatilities_Resets!$Y66)/50)*((Calculator!BN77-Calculator!BP$11)*10000)+Volatilities_Resets!$Y66)),IF(BN77&gt;=BP$10,IF(BN77&lt;BQ$10,(((Volatilities_Resets!$Y66-Volatilities_Resets!$W66)/50)*((Calculator!BN77-Calculator!BP$10)*10000)+Volatilities_Resets!$W66)),IF(BN77&gt;=BP$9,IF(BN77&lt;BQ$9,(((Volatilities_Resets!$W66-Volatilities_Resets!$U66)/50)*((Calculator!BN77-Calculator!BP$9)*10000)+Volatilities_Resets!$U66)),IF(BN77&gt;=BP$8,IF(BN77&lt;BQ$8,(((Volatilities_Resets!$U66-Volatilities_Resets!$S66)/50)*((Calculator!BN77-Calculator!BP$8)*10000)+Volatilities_Resets!$S66)),IF(BN77&gt;=BP$7,IF(BN77&lt;BQ$7,(((Volatilities_Resets!$S66-Volatilities_Resets!$Q66)/50)*((Calculator!BN77-Calculator!BP$7)*10000)+Volatilities_Resets!$Q66)),IF(BN77&gt;=BP$6,IF(BN77&lt;BQ$6,(((Volatilities_Resets!$Q66-Volatilities_Resets!$O66)/50)*((Calculator!BN77-Calculator!BP$6)*10000)+Volatilities_Resets!$O66)),IF(BN77&gt;=BP$5,IF(BN77&lt;BQ$5,(((Volatilities_Resets!$O66-Volatilities_Resets!$M66)/50)*((Calculator!BN77-Calculator!BP$5)*10000)+Volatilities_Resets!$M66)),IF(BN77&gt;=BP$4,IF(BN77&lt;BQ$4,(((Volatilities_Resets!$M66-Volatilities_Resets!$K66)/50)*((Calculator!BN77-Calculator!BP$4)*10000)+Volatilities_Resets!$K66)),IF(BN77&gt;=BP$3,IF(BN77&lt;BQ$3,(((Volatilities_Resets!$K66-Volatilities_Resets!$I66)/50)*((Calculator!BN77-Calculator!BP$3)*10000)+Volatilities_Resets!$I66)),IF(BN77&gt;=BP$2,IF(BN77&lt;BQ$2,(((Volatilities_Resets!$I66-Volatilities_Resets!$G66)/50)*((Calculator!BN77-Calculator!BP$2)*10000)+Volatilities_Resets!$G66)),"Well, something broke...")))))))))))/10000</f>
        <v>1.2761E-2</v>
      </c>
      <c r="BQ77" s="63">
        <f t="shared" ca="1" si="35"/>
        <v>11095.087456142075</v>
      </c>
      <c r="BR77" s="63">
        <f t="shared" ca="1" si="36"/>
        <v>4.494406711713409E-4</v>
      </c>
      <c r="BS77" s="63">
        <f t="shared" ca="1" si="47"/>
        <v>618355.50167977519</v>
      </c>
      <c r="BV77" s="63">
        <f t="shared" ca="1" si="37"/>
        <v>112.64030430444127</v>
      </c>
      <c r="BW77" s="63">
        <f ca="1">SUM($BV$15:BV77)</f>
        <v>5643.8927789548961</v>
      </c>
      <c r="BY77" s="52">
        <f ca="1">EXP(-AVERAGE(BO$15:BO77)*BL77)</f>
        <v>0.79926804297063558</v>
      </c>
      <c r="CA77" s="52">
        <f t="shared" ca="1" si="38"/>
        <v>63</v>
      </c>
      <c r="CB77" s="71">
        <f t="shared" ca="1" si="39"/>
        <v>47079</v>
      </c>
      <c r="CC77" s="71">
        <f t="shared" ca="1" si="12"/>
        <v>47109</v>
      </c>
      <c r="CD77" s="72">
        <f t="shared" ca="1" si="13"/>
        <v>30</v>
      </c>
      <c r="CE77" s="73">
        <f ca="1">SUM(CD$15:CD77)/360</f>
        <v>5.3277777777777775</v>
      </c>
      <c r="CF77" s="74">
        <f t="shared" si="14"/>
        <v>25000000</v>
      </c>
      <c r="CG77" s="59">
        <f t="shared" si="40"/>
        <v>0.06</v>
      </c>
      <c r="CH77" s="57">
        <f>Volatilities_Resets!$E66*0.01</f>
        <v>3.7854600000000002E-2</v>
      </c>
      <c r="CI77" s="61">
        <f>IF(CG77=CJ$11,Volatilities_Resets!$AA66,IF(CG77&gt;=CI$11,IF(CG77&lt;CJ$11,(((Volatilities_Resets!$AA66-Volatilities_Resets!$Y66)/50)*((Calculator!CG77-Calculator!CI$11)*10000)+Volatilities_Resets!$Y66)),IF(CG77&gt;=CI$10,IF(CG77&lt;CJ$10,(((Volatilities_Resets!$Y66-Volatilities_Resets!$W66)/50)*((Calculator!CG77-Calculator!CI$10)*10000)+Volatilities_Resets!$W66)),IF(CG77&gt;=CI$9,IF(CG77&lt;CJ$9,(((Volatilities_Resets!$W66-Volatilities_Resets!$U66)/50)*((Calculator!CG77-Calculator!CI$9)*10000)+Volatilities_Resets!$U66)),IF(CG77&gt;=CI$8,IF(CG77&lt;CJ$8,(((Volatilities_Resets!$U66-Volatilities_Resets!$S66)/50)*((Calculator!CG77-Calculator!CI$8)*10000)+Volatilities_Resets!$S66)),IF(CG77&gt;=CI$7,IF(CG77&lt;CJ$7,(((Volatilities_Resets!$S66-Volatilities_Resets!$Q66)/50)*((Calculator!CG77-Calculator!CI$7)*10000)+Volatilities_Resets!$Q66)),IF(CG77&gt;=CI$6,IF(CG77&lt;CJ$6,(((Volatilities_Resets!$Q66-Volatilities_Resets!$O66)/50)*((Calculator!CG77-Calculator!CI$6)*10000)+Volatilities_Resets!$O66)),IF(CG77&gt;=CI$5,IF(CG77&lt;CJ$5,(((Volatilities_Resets!$O66-Volatilities_Resets!$M66)/50)*((Calculator!CG77-Calculator!CI$5)*10000)+Volatilities_Resets!$M66)),IF(CG77&gt;=CI$4,IF(CG77&lt;CJ$4,(((Volatilities_Resets!$M66-Volatilities_Resets!$K66)/50)*((Calculator!CG77-Calculator!CI$4)*10000)+Volatilities_Resets!$K66)),IF(CG77&gt;=CI$3,IF(CG77&lt;CJ$3,(((Volatilities_Resets!$K66-Volatilities_Resets!$I66)/50)*((Calculator!CG77-Calculator!CI$3)*10000)+Volatilities_Resets!$I66)),IF(CG77&gt;=CI$2,IF(CG77&lt;CJ$2,(((Volatilities_Resets!$I66-Volatilities_Resets!$G66)/50)*((Calculator!CG77-Calculator!CI$2)*10000)+Volatilities_Resets!$G66)),"Well, something broke...")))))))))))/10000</f>
        <v>1.3649000000000001E-2</v>
      </c>
      <c r="CJ77" s="63">
        <f t="shared" ca="1" si="41"/>
        <v>7458.3257183784744</v>
      </c>
      <c r="CK77" s="63">
        <f t="shared" ca="1" si="42"/>
        <v>3.0313236718926924E-4</v>
      </c>
      <c r="CL77" s="63">
        <f t="shared" ca="1" si="48"/>
        <v>293040.74638332165</v>
      </c>
      <c r="CO77" s="63">
        <f t="shared" ca="1" si="43"/>
        <v>95.898946344660501</v>
      </c>
      <c r="CP77" s="63">
        <f ca="1">SUM($CO$15:CO77)</f>
        <v>4341.882339057066</v>
      </c>
      <c r="CR77" s="52">
        <f ca="1">EXP(-AVERAGE(CH$15:CH77)*CE77)</f>
        <v>0.79926804297063558</v>
      </c>
      <c r="CT77"/>
      <c r="CU77"/>
      <c r="CV77"/>
      <c r="CW77"/>
      <c r="CX77"/>
      <c r="CY77"/>
      <c r="CZ77"/>
      <c r="DA77"/>
      <c r="DB77"/>
      <c r="DC77"/>
      <c r="DD77"/>
      <c r="DE77"/>
      <c r="DF77"/>
      <c r="DG77"/>
      <c r="DH77"/>
      <c r="DI77"/>
      <c r="DJ77"/>
      <c r="DK77"/>
      <c r="DL77"/>
    </row>
    <row r="78" spans="2:116" ht="15.75" customHeight="1" x14ac:dyDescent="0.2">
      <c r="B78" s="52">
        <v>6</v>
      </c>
      <c r="C78" s="52">
        <f t="shared" ca="1" si="52"/>
        <v>64</v>
      </c>
      <c r="D78" s="71">
        <f t="shared" ca="1" si="16"/>
        <v>47109</v>
      </c>
      <c r="E78" s="71">
        <f t="shared" ca="1" si="53"/>
        <v>47140</v>
      </c>
      <c r="F78" s="72">
        <f t="shared" ca="1" si="54"/>
        <v>31</v>
      </c>
      <c r="G78" s="73">
        <f ca="1">SUM($F$15:F78)/360</f>
        <v>5.4138888888888888</v>
      </c>
      <c r="H78" s="74">
        <f t="shared" si="2"/>
        <v>25000000</v>
      </c>
      <c r="I78" s="59">
        <f>IF('Cap Pricer'!$E$22=DataValidation!$C$2,'Cap Pricer'!$E$23,IF('Cap Pricer'!$E$22=DataValidation!$C$3,VLOOKUP($B78,'Cap Pricer'!$C$25:$E$31,3),""))</f>
        <v>0.02</v>
      </c>
      <c r="J78" s="57">
        <f>Volatilities_Resets!$E67*0.01</f>
        <v>3.7860499999999998E-2</v>
      </c>
      <c r="K78" s="61">
        <f>IF(I78=L$11,Volatilities_Resets!$AA67,IF(I78&gt;=K$11,IF(I78&lt;L$11,(((Volatilities_Resets!$AA67-Volatilities_Resets!$Y67)/50)*((Calculator!I78-Calculator!K$11)*10000)+Volatilities_Resets!$Y67)),IF(I78&gt;=K$10,IF(I78&lt;L$10,(((Volatilities_Resets!$Y67-Volatilities_Resets!$W67)/50)*((Calculator!I78-Calculator!K$10)*10000)+Volatilities_Resets!$W67)),IF(I78&gt;=K$9,IF(I78&lt;L$9,(((Volatilities_Resets!$W67-Volatilities_Resets!$U67)/50)*((Calculator!I78-Calculator!K$9)*10000)+Volatilities_Resets!$U67)),IF(I78&gt;=K$8,IF(I78&lt;L$8,(((Volatilities_Resets!$U67-Volatilities_Resets!$S67)/50)*((Calculator!I78-Calculator!K$8)*10000)+Volatilities_Resets!$S67)),IF(I78&gt;=K$7,IF(I78&lt;L$7,(((Volatilities_Resets!$S67-Volatilities_Resets!$Q67)/50)*((Calculator!I78-Calculator!K$7)*10000)+Volatilities_Resets!$Q67)),IF(I78&gt;=K$6,IF(I78&lt;L$6,(((Volatilities_Resets!$Q67-Volatilities_Resets!$O67)/50)*((Calculator!I78-Calculator!K$6)*10000)+Volatilities_Resets!$O67)),IF(I78&gt;=K$5,IF(I78&lt;L$5,(((Volatilities_Resets!$O67-Volatilities_Resets!$M67)/50)*((Calculator!I78-Calculator!K$5)*10000)+Volatilities_Resets!$M67)),IF(I78&gt;=K$4,IF(I78&lt;L$4,(((Volatilities_Resets!$M67-Volatilities_Resets!$K67)/50)*((Calculator!I78-Calculator!K$4)*10000)+Volatilities_Resets!$K67)),IF(I78&gt;=K$3,IF(I78&lt;L$3,(((Volatilities_Resets!$K67-Volatilities_Resets!$I67)/50)*((Calculator!I78-Calculator!K$3)*10000)+Volatilities_Resets!$I67)),IF(I78&gt;=K$2,IF(I78&lt;L$2,(((Volatilities_Resets!$I67-Volatilities_Resets!$G67)/50)*((Calculator!I78-Calculator!K$2)*10000)+Volatilities_Resets!$G67)),"Well, something broke...")))))))))))/10000</f>
        <v>1.1609999999999999E-2</v>
      </c>
      <c r="L78" s="47">
        <f t="shared" ca="1" si="17"/>
        <v>37697.35567032377</v>
      </c>
      <c r="M78" s="63">
        <f t="shared" ca="1" si="18"/>
        <v>1.5130214991264121E-3</v>
      </c>
      <c r="N78" s="63">
        <f t="shared" ca="1" si="55"/>
        <v>3021751.1150749</v>
      </c>
      <c r="Q78" s="63">
        <f t="shared" ca="1" si="19"/>
        <v>102.11750214667425</v>
      </c>
      <c r="R78" s="63">
        <f ca="1">SUM($Q$15:Q78)</f>
        <v>4494.7921576460012</v>
      </c>
      <c r="T78" s="52">
        <f ca="1">EXP(-AVERAGE(J$15:J78)*G78)</f>
        <v>0.79666142856171851</v>
      </c>
      <c r="U78" s="57"/>
      <c r="V78" s="52">
        <f t="shared" ca="1" si="20"/>
        <v>64</v>
      </c>
      <c r="W78" s="71">
        <f t="shared" ca="1" si="21"/>
        <v>47109</v>
      </c>
      <c r="X78" s="71">
        <f t="shared" ca="1" si="3"/>
        <v>47140</v>
      </c>
      <c r="Y78" s="72">
        <f t="shared" ca="1" si="4"/>
        <v>31</v>
      </c>
      <c r="Z78" s="73">
        <f ca="1">SUM(Y$15:Y78)/360</f>
        <v>5.4138888888888888</v>
      </c>
      <c r="AA78" s="74">
        <f t="shared" si="22"/>
        <v>25000000</v>
      </c>
      <c r="AB78" s="59">
        <f t="shared" si="23"/>
        <v>0.03</v>
      </c>
      <c r="AC78" s="57">
        <f>Volatilities_Resets!$E67*0.01</f>
        <v>3.7860499999999998E-2</v>
      </c>
      <c r="AD78" s="61">
        <f>IF(AB78=AE$11,Volatilities_Resets!$AA67,IF(AB78&gt;=AD$11,IF(AB78&lt;AE$11,(((Volatilities_Resets!$AA67-Volatilities_Resets!$Y67)/50)*((Calculator!AB78-Calculator!AD$11)*10000)+Volatilities_Resets!$Y67)),IF(AB78&gt;=AD$10,IF(AB78&lt;AE$10,(((Volatilities_Resets!$Y67-Volatilities_Resets!$W67)/50)*((Calculator!AB78-Calculator!AD$10)*10000)+Volatilities_Resets!$W67)),IF(AB78&gt;=AD$9,IF(AB78&lt;AE$9,(((Volatilities_Resets!$W67-Volatilities_Resets!$U67)/50)*((Calculator!AB78-Calculator!AD$9)*10000)+Volatilities_Resets!$U67)),IF(AB78&gt;=AD$8,IF(AB78&lt;AE$8,(((Volatilities_Resets!$U67-Volatilities_Resets!$S67)/50)*((Calculator!AB78-Calculator!AD$8)*10000)+Volatilities_Resets!$S67)),IF(AB78&gt;=AD$7,IF(AB78&lt;AE$7,(((Volatilities_Resets!$S67-Volatilities_Resets!$Q67)/50)*((Calculator!AB78-Calculator!AD$7)*10000)+Volatilities_Resets!$Q67)),IF(AB78&gt;=AD$6,IF(AB78&lt;AE$6,(((Volatilities_Resets!$Q67-Volatilities_Resets!$O67)/50)*((Calculator!AB78-Calculator!AD$6)*10000)+Volatilities_Resets!$O67)),IF(AB78&gt;=AD$5,IF(AB78&lt;AE$5,(((Volatilities_Resets!$O67-Volatilities_Resets!$M67)/50)*((Calculator!AB78-Calculator!AD$5)*10000)+Volatilities_Resets!$M67)),IF(AB78&gt;=AD$4,IF(AB78&lt;AE$4,(((Volatilities_Resets!$M67-Volatilities_Resets!$K67)/50)*((Calculator!AB78-Calculator!AD$4)*10000)+Volatilities_Resets!$K67)),IF(AB78&gt;=AD$3,IF(AB78&lt;AE$3,(((Volatilities_Resets!$K67-Volatilities_Resets!$I67)/50)*((Calculator!AB78-Calculator!AD$3)*10000)+Volatilities_Resets!$I67)),IF(AB78&gt;=AD$2,IF(AB78&lt;AE$2,(((Volatilities_Resets!$I67-Volatilities_Resets!$G67)/50)*((Calculator!AB78-Calculator!AD$2)*10000)+Volatilities_Resets!$G67)),"Well, something broke...")))))))))))/10000</f>
        <v>1.1704000000000001E-2</v>
      </c>
      <c r="AE78" s="63">
        <f t="shared" ca="1" si="24"/>
        <v>26143.894588270421</v>
      </c>
      <c r="AF78" s="63">
        <f t="shared" ca="1" si="25"/>
        <v>1.0518660395293612E-3</v>
      </c>
      <c r="AG78" s="63">
        <f t="shared" ca="1" si="45"/>
        <v>2074325.5214415535</v>
      </c>
      <c r="AJ78" s="63">
        <f t="shared" ca="1" si="26"/>
        <v>121.69513181695353</v>
      </c>
      <c r="AK78" s="63">
        <f ca="1">SUM($AJ$15:AJ78)</f>
        <v>5492.092325669777</v>
      </c>
      <c r="AM78" s="52">
        <f ca="1">EXP(-AVERAGE(AC$15:AC78)*Z78)</f>
        <v>0.79666142856171851</v>
      </c>
      <c r="AO78" s="52">
        <f t="shared" ca="1" si="27"/>
        <v>64</v>
      </c>
      <c r="AP78" s="71">
        <f t="shared" ca="1" si="28"/>
        <v>47109</v>
      </c>
      <c r="AQ78" s="71">
        <f t="shared" ca="1" si="5"/>
        <v>47140</v>
      </c>
      <c r="AR78" s="72">
        <f t="shared" ca="1" si="6"/>
        <v>31</v>
      </c>
      <c r="AS78" s="73">
        <f ca="1">SUM(AR$15:AR78)/360</f>
        <v>5.4138888888888888</v>
      </c>
      <c r="AT78" s="74">
        <f t="shared" si="7"/>
        <v>25000000</v>
      </c>
      <c r="AU78" s="59">
        <f t="shared" si="29"/>
        <v>0.04</v>
      </c>
      <c r="AV78" s="57">
        <f>Volatilities_Resets!$E67*0.01</f>
        <v>3.7860499999999998E-2</v>
      </c>
      <c r="AW78" s="61">
        <f>IF(AU78=AX$11,Volatilities_Resets!$AA67,IF(AU78&gt;=AW$11,IF(AU78&lt;AX$11,(((Volatilities_Resets!$AA67-Volatilities_Resets!$Y67)/50)*((Calculator!AU78-Calculator!AW$11)*10000)+Volatilities_Resets!$Y67)),IF(AU78&gt;=AW$10,IF(AU78&lt;AX$10,(((Volatilities_Resets!$Y67-Volatilities_Resets!$W67)/50)*((Calculator!AU78-Calculator!AW$10)*10000)+Volatilities_Resets!$W67)),IF(AU78&gt;=AW$9,IF(AU78&lt;AX$9,(((Volatilities_Resets!$W67-Volatilities_Resets!$U67)/50)*((Calculator!AU78-Calculator!AW$9)*10000)+Volatilities_Resets!$U67)),IF(AU78&gt;=AW$8,IF(AU78&lt;AX$8,(((Volatilities_Resets!$U67-Volatilities_Resets!$S67)/50)*((Calculator!AU78-Calculator!AW$8)*10000)+Volatilities_Resets!$S67)),IF(AU78&gt;=AW$7,IF(AU78&lt;AX$7,(((Volatilities_Resets!$S67-Volatilities_Resets!$Q67)/50)*((Calculator!AU78-Calculator!AW$7)*10000)+Volatilities_Resets!$Q67)),IF(AU78&gt;=AW$6,IF(AU78&lt;AX$6,(((Volatilities_Resets!$Q67-Volatilities_Resets!$O67)/50)*((Calculator!AU78-Calculator!AW$6)*10000)+Volatilities_Resets!$O67)),IF(AU78&gt;=AW$5,IF(AU78&lt;AX$5,(((Volatilities_Resets!$O67-Volatilities_Resets!$M67)/50)*((Calculator!AU78-Calculator!AW$5)*10000)+Volatilities_Resets!$M67)),IF(AU78&gt;=AW$4,IF(AU78&lt;AX$4,(((Volatilities_Resets!$M67-Volatilities_Resets!$K67)/50)*((Calculator!AU78-Calculator!AW$4)*10000)+Volatilities_Resets!$K67)),IF(AU78&gt;=AW$3,IF(AU78&lt;AX$3,(((Volatilities_Resets!$K67-Volatilities_Resets!$I67)/50)*((Calculator!AU78-Calculator!AW$3)*10000)+Volatilities_Resets!$I67)),IF(AU78&gt;=AW$2,IF(AU78&lt;AX$2,(((Volatilities_Resets!$I67-Volatilities_Resets!$G67)/50)*((Calculator!AU78-Calculator!AW$2)*10000)+Volatilities_Resets!$G67)),"Well, something broke...")))))))))))/10000</f>
        <v>1.209E-2</v>
      </c>
      <c r="AX78" s="63">
        <f t="shared" ca="1" si="30"/>
        <v>17468.024843392737</v>
      </c>
      <c r="AY78" s="63">
        <f t="shared" ca="1" si="31"/>
        <v>7.0507067527028188E-4</v>
      </c>
      <c r="AZ78" s="63">
        <f t="shared" ca="1" si="46"/>
        <v>1253660.5992019526</v>
      </c>
      <c r="BC78" s="63">
        <f t="shared" ca="1" si="8"/>
        <v>126.46365905610992</v>
      </c>
      <c r="BD78" s="63">
        <f ca="1">SUM($BC$15:BC78)</f>
        <v>5948.4437272699452</v>
      </c>
      <c r="BF78" s="52">
        <f ca="1">EXP(-AVERAGE(AV$15:AV78)*AS78)</f>
        <v>0.79666142856171851</v>
      </c>
      <c r="BH78" s="52">
        <f t="shared" ca="1" si="32"/>
        <v>64</v>
      </c>
      <c r="BI78" s="71">
        <f t="shared" ca="1" si="33"/>
        <v>47109</v>
      </c>
      <c r="BJ78" s="71">
        <f t="shared" ca="1" si="9"/>
        <v>47140</v>
      </c>
      <c r="BK78" s="72">
        <f t="shared" ca="1" si="10"/>
        <v>31</v>
      </c>
      <c r="BL78" s="73">
        <f ca="1">SUM(BK$15:BK78)/360</f>
        <v>5.4138888888888888</v>
      </c>
      <c r="BM78" s="74">
        <f t="shared" si="11"/>
        <v>25000000</v>
      </c>
      <c r="BN78" s="59">
        <f t="shared" si="34"/>
        <v>0.05</v>
      </c>
      <c r="BO78" s="57">
        <f>Volatilities_Resets!$E67*0.01</f>
        <v>3.7860499999999998E-2</v>
      </c>
      <c r="BP78" s="61">
        <f>IF(BN78=BQ$11,Volatilities_Resets!$AA67,IF(BN78&gt;=BP$11,IF(BN78&lt;BQ$11,(((Volatilities_Resets!$AA67-Volatilities_Resets!$Y67)/50)*((Calculator!BN78-Calculator!BP$11)*10000)+Volatilities_Resets!$Y67)),IF(BN78&gt;=BP$10,IF(BN78&lt;BQ$10,(((Volatilities_Resets!$Y67-Volatilities_Resets!$W67)/50)*((Calculator!BN78-Calculator!BP$10)*10000)+Volatilities_Resets!$W67)),IF(BN78&gt;=BP$9,IF(BN78&lt;BQ$9,(((Volatilities_Resets!$W67-Volatilities_Resets!$U67)/50)*((Calculator!BN78-Calculator!BP$9)*10000)+Volatilities_Resets!$U67)),IF(BN78&gt;=BP$8,IF(BN78&lt;BQ$8,(((Volatilities_Resets!$U67-Volatilities_Resets!$S67)/50)*((Calculator!BN78-Calculator!BP$8)*10000)+Volatilities_Resets!$S67)),IF(BN78&gt;=BP$7,IF(BN78&lt;BQ$7,(((Volatilities_Resets!$S67-Volatilities_Resets!$Q67)/50)*((Calculator!BN78-Calculator!BP$7)*10000)+Volatilities_Resets!$Q67)),IF(BN78&gt;=BP$6,IF(BN78&lt;BQ$6,(((Volatilities_Resets!$Q67-Volatilities_Resets!$O67)/50)*((Calculator!BN78-Calculator!BP$6)*10000)+Volatilities_Resets!$O67)),IF(BN78&gt;=BP$5,IF(BN78&lt;BQ$5,(((Volatilities_Resets!$O67-Volatilities_Resets!$M67)/50)*((Calculator!BN78-Calculator!BP$5)*10000)+Volatilities_Resets!$M67)),IF(BN78&gt;=BP$4,IF(BN78&lt;BQ$4,(((Volatilities_Resets!$M67-Volatilities_Resets!$K67)/50)*((Calculator!BN78-Calculator!BP$4)*10000)+Volatilities_Resets!$K67)),IF(BN78&gt;=BP$3,IF(BN78&lt;BQ$3,(((Volatilities_Resets!$K67-Volatilities_Resets!$I67)/50)*((Calculator!BN78-Calculator!BP$3)*10000)+Volatilities_Resets!$I67)),IF(BN78&gt;=BP$2,IF(BN78&lt;BQ$2,(((Volatilities_Resets!$I67-Volatilities_Resets!$G67)/50)*((Calculator!BN78-Calculator!BP$2)*10000)+Volatilities_Resets!$G67)),"Well, something broke...")))))))))))/10000</f>
        <v>1.2761E-2</v>
      </c>
      <c r="BQ78" s="63">
        <f t="shared" ca="1" si="35"/>
        <v>11580.079120358594</v>
      </c>
      <c r="BR78" s="63">
        <f t="shared" ca="1" si="36"/>
        <v>4.6906430948812441E-4</v>
      </c>
      <c r="BS78" s="63">
        <f t="shared" ca="1" si="47"/>
        <v>629935.58080013376</v>
      </c>
      <c r="BV78" s="63">
        <f t="shared" ca="1" si="37"/>
        <v>116.73369722052446</v>
      </c>
      <c r="BW78" s="63">
        <f ca="1">SUM($BV$15:BV78)</f>
        <v>5760.626476175421</v>
      </c>
      <c r="BY78" s="52">
        <f ca="1">EXP(-AVERAGE(BO$15:BO78)*BL78)</f>
        <v>0.79666142856171851</v>
      </c>
      <c r="CA78" s="52">
        <f t="shared" ca="1" si="38"/>
        <v>64</v>
      </c>
      <c r="CB78" s="71">
        <f t="shared" ca="1" si="39"/>
        <v>47109</v>
      </c>
      <c r="CC78" s="71">
        <f t="shared" ca="1" si="12"/>
        <v>47140</v>
      </c>
      <c r="CD78" s="72">
        <f t="shared" ca="1" si="13"/>
        <v>31</v>
      </c>
      <c r="CE78" s="73">
        <f ca="1">SUM(CD$15:CD78)/360</f>
        <v>5.4138888888888888</v>
      </c>
      <c r="CF78" s="74">
        <f t="shared" si="14"/>
        <v>25000000</v>
      </c>
      <c r="CG78" s="59">
        <f t="shared" si="40"/>
        <v>0.06</v>
      </c>
      <c r="CH78" s="57">
        <f>Volatilities_Resets!$E67*0.01</f>
        <v>3.7860499999999998E-2</v>
      </c>
      <c r="CI78" s="61">
        <f>IF(CG78=CJ$11,Volatilities_Resets!$AA67,IF(CG78&gt;=CI$11,IF(CG78&lt;CJ$11,(((Volatilities_Resets!$AA67-Volatilities_Resets!$Y67)/50)*((Calculator!CG78-Calculator!CI$11)*10000)+Volatilities_Resets!$Y67)),IF(CG78&gt;=CI$10,IF(CG78&lt;CJ$10,(((Volatilities_Resets!$Y67-Volatilities_Resets!$W67)/50)*((Calculator!CG78-Calculator!CI$10)*10000)+Volatilities_Resets!$W67)),IF(CG78&gt;=CI$9,IF(CG78&lt;CJ$9,(((Volatilities_Resets!$W67-Volatilities_Resets!$U67)/50)*((Calculator!CG78-Calculator!CI$9)*10000)+Volatilities_Resets!$U67)),IF(CG78&gt;=CI$8,IF(CG78&lt;CJ$8,(((Volatilities_Resets!$U67-Volatilities_Resets!$S67)/50)*((Calculator!CG78-Calculator!CI$8)*10000)+Volatilities_Resets!$S67)),IF(CG78&gt;=CI$7,IF(CG78&lt;CJ$7,(((Volatilities_Resets!$S67-Volatilities_Resets!$Q67)/50)*((Calculator!CG78-Calculator!CI$7)*10000)+Volatilities_Resets!$Q67)),IF(CG78&gt;=CI$6,IF(CG78&lt;CJ$6,(((Volatilities_Resets!$Q67-Volatilities_Resets!$O67)/50)*((Calculator!CG78-Calculator!CI$6)*10000)+Volatilities_Resets!$O67)),IF(CG78&gt;=CI$5,IF(CG78&lt;CJ$5,(((Volatilities_Resets!$O67-Volatilities_Resets!$M67)/50)*((Calculator!CG78-Calculator!CI$5)*10000)+Volatilities_Resets!$M67)),IF(CG78&gt;=CI$4,IF(CG78&lt;CJ$4,(((Volatilities_Resets!$M67-Volatilities_Resets!$K67)/50)*((Calculator!CG78-Calculator!CI$4)*10000)+Volatilities_Resets!$K67)),IF(CG78&gt;=CI$3,IF(CG78&lt;CJ$3,(((Volatilities_Resets!$K67-Volatilities_Resets!$I67)/50)*((Calculator!CG78-Calculator!CI$3)*10000)+Volatilities_Resets!$I67)),IF(CG78&gt;=CI$2,IF(CG78&lt;CJ$2,(((Volatilities_Resets!$I67-Volatilities_Resets!$G67)/50)*((Calculator!CG78-Calculator!CI$2)*10000)+Volatilities_Resets!$G67)),"Well, something broke...")))))))))))/10000</f>
        <v>1.3649000000000001E-2</v>
      </c>
      <c r="CJ78" s="63">
        <f t="shared" ca="1" si="41"/>
        <v>7820.0467713961352</v>
      </c>
      <c r="CK78" s="63">
        <f t="shared" ca="1" si="42"/>
        <v>3.178049200012858E-4</v>
      </c>
      <c r="CL78" s="63">
        <f t="shared" ca="1" si="48"/>
        <v>300860.79315471777</v>
      </c>
      <c r="CO78" s="63">
        <f t="shared" ca="1" si="43"/>
        <v>99.643406984275487</v>
      </c>
      <c r="CP78" s="63">
        <f ca="1">SUM($CO$15:CO78)</f>
        <v>4441.5257460413413</v>
      </c>
      <c r="CR78" s="52">
        <f ca="1">EXP(-AVERAGE(CH$15:CH78)*CE78)</f>
        <v>0.79666142856171851</v>
      </c>
      <c r="CT78"/>
      <c r="CU78"/>
      <c r="CV78"/>
      <c r="CW78"/>
      <c r="CX78"/>
      <c r="CY78"/>
      <c r="CZ78"/>
      <c r="DA78"/>
      <c r="DB78"/>
      <c r="DC78"/>
      <c r="DD78"/>
      <c r="DE78"/>
      <c r="DF78"/>
      <c r="DG78"/>
      <c r="DH78"/>
      <c r="DI78"/>
      <c r="DJ78"/>
      <c r="DK78"/>
      <c r="DL78"/>
    </row>
    <row r="79" spans="2:116" ht="15.75" customHeight="1" x14ac:dyDescent="0.2">
      <c r="B79" s="52">
        <v>6</v>
      </c>
      <c r="C79" s="52">
        <f t="shared" ca="1" si="52"/>
        <v>65</v>
      </c>
      <c r="D79" s="71">
        <f t="shared" ca="1" si="16"/>
        <v>47140</v>
      </c>
      <c r="E79" s="71">
        <f t="shared" ca="1" si="53"/>
        <v>47171</v>
      </c>
      <c r="F79" s="72">
        <f t="shared" ca="1" si="54"/>
        <v>31</v>
      </c>
      <c r="G79" s="73">
        <f ca="1">SUM($F$15:F79)/360</f>
        <v>5.5</v>
      </c>
      <c r="H79" s="74">
        <f t="shared" ref="H79:H98" si="56">$B$2</f>
        <v>25000000</v>
      </c>
      <c r="I79" s="59">
        <f>IF('Cap Pricer'!$E$22=DataValidation!$C$2,'Cap Pricer'!$E$23,IF('Cap Pricer'!$E$22=DataValidation!$C$3,VLOOKUP($B79,'Cap Pricer'!$C$25:$E$31,3),""))</f>
        <v>0.02</v>
      </c>
      <c r="J79" s="57">
        <f>Volatilities_Resets!$E68*0.01</f>
        <v>3.7860499999999998E-2</v>
      </c>
      <c r="K79" s="61">
        <f>IF(I79=L$11,Volatilities_Resets!$AA68,IF(I79&gt;=K$11,IF(I79&lt;L$11,(((Volatilities_Resets!$AA68-Volatilities_Resets!$Y68)/50)*((Calculator!I79-Calculator!K$11)*10000)+Volatilities_Resets!$Y68)),IF(I79&gt;=K$10,IF(I79&lt;L$10,(((Volatilities_Resets!$Y68-Volatilities_Resets!$W68)/50)*((Calculator!I79-Calculator!K$10)*10000)+Volatilities_Resets!$W68)),IF(I79&gt;=K$9,IF(I79&lt;L$9,(((Volatilities_Resets!$W68-Volatilities_Resets!$U68)/50)*((Calculator!I79-Calculator!K$9)*10000)+Volatilities_Resets!$U68)),IF(I79&gt;=K$8,IF(I79&lt;L$8,(((Volatilities_Resets!$U68-Volatilities_Resets!$S68)/50)*((Calculator!I79-Calculator!K$8)*10000)+Volatilities_Resets!$S68)),IF(I79&gt;=K$7,IF(I79&lt;L$7,(((Volatilities_Resets!$S68-Volatilities_Resets!$Q68)/50)*((Calculator!I79-Calculator!K$7)*10000)+Volatilities_Resets!$Q68)),IF(I79&gt;=K$6,IF(I79&lt;L$6,(((Volatilities_Resets!$Q68-Volatilities_Resets!$O68)/50)*((Calculator!I79-Calculator!K$6)*10000)+Volatilities_Resets!$O68)),IF(I79&gt;=K$5,IF(I79&lt;L$5,(((Volatilities_Resets!$O68-Volatilities_Resets!$M68)/50)*((Calculator!I79-Calculator!K$5)*10000)+Volatilities_Resets!$M68)),IF(I79&gt;=K$4,IF(I79&lt;L$4,(((Volatilities_Resets!$M68-Volatilities_Resets!$K68)/50)*((Calculator!I79-Calculator!K$4)*10000)+Volatilities_Resets!$K68)),IF(I79&gt;=K$3,IF(I79&lt;L$3,(((Volatilities_Resets!$K68-Volatilities_Resets!$I68)/50)*((Calculator!I79-Calculator!K$3)*10000)+Volatilities_Resets!$I68)),IF(I79&gt;=K$2,IF(I79&lt;L$2,(((Volatilities_Resets!$I68-Volatilities_Resets!$G68)/50)*((Calculator!I79-Calculator!K$2)*10000)+Volatilities_Resets!$G68)),"Well, something broke...")))))))))))/10000</f>
        <v>1.1609999999999999E-2</v>
      </c>
      <c r="L79" s="47">
        <f t="shared" ca="1" si="17"/>
        <v>37691.906415804362</v>
      </c>
      <c r="M79" s="63">
        <f t="shared" ca="1" si="18"/>
        <v>1.5128447973580383E-3</v>
      </c>
      <c r="N79" s="63">
        <f t="shared" ca="1" si="55"/>
        <v>3059443.0214907043</v>
      </c>
      <c r="Q79" s="63">
        <f t="shared" ca="1" si="19"/>
        <v>102.60373467505974</v>
      </c>
      <c r="R79" s="63">
        <f ca="1">SUM($Q$15:Q79)</f>
        <v>4597.3958923210612</v>
      </c>
      <c r="T79" s="52">
        <f ca="1">EXP(-AVERAGE(J$15:J79)*G79)</f>
        <v>0.79406347065523286</v>
      </c>
      <c r="U79" s="57"/>
      <c r="V79" s="52">
        <f t="shared" ca="1" si="20"/>
        <v>65</v>
      </c>
      <c r="W79" s="71">
        <f t="shared" ca="1" si="21"/>
        <v>47140</v>
      </c>
      <c r="X79" s="71">
        <f t="shared" ref="X79:X98" ca="1" si="57">EDATE(W79,1)</f>
        <v>47171</v>
      </c>
      <c r="Y79" s="72">
        <f t="shared" ref="Y79:Y98" ca="1" si="58">X79-W79</f>
        <v>31</v>
      </c>
      <c r="Z79" s="73">
        <f ca="1">SUM(Y$15:Y79)/360</f>
        <v>5.5</v>
      </c>
      <c r="AA79" s="74">
        <f t="shared" ref="AA79:AA98" si="59">$B$2</f>
        <v>25000000</v>
      </c>
      <c r="AB79" s="59">
        <f t="shared" si="23"/>
        <v>0.03</v>
      </c>
      <c r="AC79" s="57">
        <f>Volatilities_Resets!$E68*0.01</f>
        <v>3.7860499999999998E-2</v>
      </c>
      <c r="AD79" s="61">
        <f>IF(AB79=AE$11,Volatilities_Resets!$AA68,IF(AB79&gt;=AD$11,IF(AB79&lt;AE$11,(((Volatilities_Resets!$AA68-Volatilities_Resets!$Y68)/50)*((Calculator!AB79-Calculator!AD$11)*10000)+Volatilities_Resets!$Y68)),IF(AB79&gt;=AD$10,IF(AB79&lt;AE$10,(((Volatilities_Resets!$Y68-Volatilities_Resets!$W68)/50)*((Calculator!AB79-Calculator!AD$10)*10000)+Volatilities_Resets!$W68)),IF(AB79&gt;=AD$9,IF(AB79&lt;AE$9,(((Volatilities_Resets!$W68-Volatilities_Resets!$U68)/50)*((Calculator!AB79-Calculator!AD$9)*10000)+Volatilities_Resets!$U68)),IF(AB79&gt;=AD$8,IF(AB79&lt;AE$8,(((Volatilities_Resets!$U68-Volatilities_Resets!$S68)/50)*((Calculator!AB79-Calculator!AD$8)*10000)+Volatilities_Resets!$S68)),IF(AB79&gt;=AD$7,IF(AB79&lt;AE$7,(((Volatilities_Resets!$S68-Volatilities_Resets!$Q68)/50)*((Calculator!AB79-Calculator!AD$7)*10000)+Volatilities_Resets!$Q68)),IF(AB79&gt;=AD$6,IF(AB79&lt;AE$6,(((Volatilities_Resets!$Q68-Volatilities_Resets!$O68)/50)*((Calculator!AB79-Calculator!AD$6)*10000)+Volatilities_Resets!$O68)),IF(AB79&gt;=AD$5,IF(AB79&lt;AE$5,(((Volatilities_Resets!$O68-Volatilities_Resets!$M68)/50)*((Calculator!AB79-Calculator!AD$5)*10000)+Volatilities_Resets!$M68)),IF(AB79&gt;=AD$4,IF(AB79&lt;AE$4,(((Volatilities_Resets!$M68-Volatilities_Resets!$K68)/50)*((Calculator!AB79-Calculator!AD$4)*10000)+Volatilities_Resets!$K68)),IF(AB79&gt;=AD$3,IF(AB79&lt;AE$3,(((Volatilities_Resets!$K68-Volatilities_Resets!$I68)/50)*((Calculator!AB79-Calculator!AD$3)*10000)+Volatilities_Resets!$I68)),IF(AB79&gt;=AD$2,IF(AB79&lt;AE$2,(((Volatilities_Resets!$I68-Volatilities_Resets!$G68)/50)*((Calculator!AB79-Calculator!AD$2)*10000)+Volatilities_Resets!$G68)),"Well, something broke...")))))))))))/10000</f>
        <v>1.1704000000000001E-2</v>
      </c>
      <c r="AE79" s="63">
        <f t="shared" ca="1" si="24"/>
        <v>26199.796429700102</v>
      </c>
      <c r="AF79" s="63">
        <f t="shared" ca="1" si="25"/>
        <v>1.0541344023855081E-3</v>
      </c>
      <c r="AG79" s="63">
        <f t="shared" ca="1" si="45"/>
        <v>2100525.3178712535</v>
      </c>
      <c r="AJ79" s="63">
        <f t="shared" ca="1" si="26"/>
        <v>121.93926895466865</v>
      </c>
      <c r="AK79" s="63">
        <f ca="1">SUM($AJ$15:AJ79)</f>
        <v>5614.0315946244455</v>
      </c>
      <c r="AM79" s="52">
        <f ca="1">EXP(-AVERAGE(AC$15:AC79)*Z79)</f>
        <v>0.79406347065523286</v>
      </c>
      <c r="AO79" s="52">
        <f t="shared" ca="1" si="27"/>
        <v>65</v>
      </c>
      <c r="AP79" s="71">
        <f t="shared" ca="1" si="28"/>
        <v>47140</v>
      </c>
      <c r="AQ79" s="71">
        <f t="shared" ref="AQ79:AQ98" ca="1" si="60">EDATE(AP79,1)</f>
        <v>47171</v>
      </c>
      <c r="AR79" s="72">
        <f t="shared" ref="AR79:AR98" ca="1" si="61">AQ79-AP79</f>
        <v>31</v>
      </c>
      <c r="AS79" s="73">
        <f ca="1">SUM(AR$15:AR79)/360</f>
        <v>5.5</v>
      </c>
      <c r="AT79" s="74">
        <f t="shared" ref="AT79:AT98" si="62">$B$2</f>
        <v>25000000</v>
      </c>
      <c r="AU79" s="59">
        <f t="shared" si="29"/>
        <v>0.04</v>
      </c>
      <c r="AV79" s="57">
        <f>Volatilities_Resets!$E68*0.01</f>
        <v>3.7860499999999998E-2</v>
      </c>
      <c r="AW79" s="61">
        <f>IF(AU79=AX$11,Volatilities_Resets!$AA68,IF(AU79&gt;=AW$11,IF(AU79&lt;AX$11,(((Volatilities_Resets!$AA68-Volatilities_Resets!$Y68)/50)*((Calculator!AU79-Calculator!AW$11)*10000)+Volatilities_Resets!$Y68)),IF(AU79&gt;=AW$10,IF(AU79&lt;AX$10,(((Volatilities_Resets!$Y68-Volatilities_Resets!$W68)/50)*((Calculator!AU79-Calculator!AW$10)*10000)+Volatilities_Resets!$W68)),IF(AU79&gt;=AW$9,IF(AU79&lt;AX$9,(((Volatilities_Resets!$W68-Volatilities_Resets!$U68)/50)*((Calculator!AU79-Calculator!AW$9)*10000)+Volatilities_Resets!$U68)),IF(AU79&gt;=AW$8,IF(AU79&lt;AX$8,(((Volatilities_Resets!$U68-Volatilities_Resets!$S68)/50)*((Calculator!AU79-Calculator!AW$8)*10000)+Volatilities_Resets!$S68)),IF(AU79&gt;=AW$7,IF(AU79&lt;AX$7,(((Volatilities_Resets!$S68-Volatilities_Resets!$Q68)/50)*((Calculator!AU79-Calculator!AW$7)*10000)+Volatilities_Resets!$Q68)),IF(AU79&gt;=AW$6,IF(AU79&lt;AX$6,(((Volatilities_Resets!$Q68-Volatilities_Resets!$O68)/50)*((Calculator!AU79-Calculator!AW$6)*10000)+Volatilities_Resets!$O68)),IF(AU79&gt;=AW$5,IF(AU79&lt;AX$5,(((Volatilities_Resets!$O68-Volatilities_Resets!$M68)/50)*((Calculator!AU79-Calculator!AW$5)*10000)+Volatilities_Resets!$M68)),IF(AU79&gt;=AW$4,IF(AU79&lt;AX$4,(((Volatilities_Resets!$M68-Volatilities_Resets!$K68)/50)*((Calculator!AU79-Calculator!AW$4)*10000)+Volatilities_Resets!$K68)),IF(AU79&gt;=AW$3,IF(AU79&lt;AX$3,(((Volatilities_Resets!$K68-Volatilities_Resets!$I68)/50)*((Calculator!AU79-Calculator!AW$3)*10000)+Volatilities_Resets!$I68)),IF(AU79&gt;=AW$2,IF(AU79&lt;AX$2,(((Volatilities_Resets!$I68-Volatilities_Resets!$G68)/50)*((Calculator!AU79-Calculator!AW$2)*10000)+Volatilities_Resets!$G68)),"Well, something broke...")))))))))))/10000</f>
        <v>1.2089000000000001E-2</v>
      </c>
      <c r="AX79" s="63">
        <f t="shared" ca="1" si="30"/>
        <v>17560.997130740325</v>
      </c>
      <c r="AY79" s="63">
        <f t="shared" ca="1" si="31"/>
        <v>7.0881927810388906E-4</v>
      </c>
      <c r="AZ79" s="63">
        <f t="shared" ca="1" si="46"/>
        <v>1271221.596332693</v>
      </c>
      <c r="BC79" s="63">
        <f t="shared" ref="BC79:BC98" ca="1" si="63">((AY79-(AX79/AT79))*AT79)*BF79</f>
        <v>126.64107116052182</v>
      </c>
      <c r="BD79" s="63">
        <f ca="1">SUM($BC$15:BC79)</f>
        <v>6075.0847984304673</v>
      </c>
      <c r="BF79" s="52">
        <f ca="1">EXP(-AVERAGE(AV$15:AV79)*AS79)</f>
        <v>0.79406347065523286</v>
      </c>
      <c r="BH79" s="52">
        <f t="shared" ca="1" si="32"/>
        <v>65</v>
      </c>
      <c r="BI79" s="71">
        <f t="shared" ca="1" si="33"/>
        <v>47140</v>
      </c>
      <c r="BJ79" s="71">
        <f t="shared" ref="BJ79:BJ98" ca="1" si="64">EDATE(BI79,1)</f>
        <v>47171</v>
      </c>
      <c r="BK79" s="72">
        <f t="shared" ref="BK79:BK98" ca="1" si="65">BJ79-BI79</f>
        <v>31</v>
      </c>
      <c r="BL79" s="73">
        <f ca="1">SUM(BK$15:BK79)/360</f>
        <v>5.5</v>
      </c>
      <c r="BM79" s="74">
        <f t="shared" ref="BM79:BM98" si="66">$B$2</f>
        <v>25000000</v>
      </c>
      <c r="BN79" s="59">
        <f t="shared" si="34"/>
        <v>0.05</v>
      </c>
      <c r="BO79" s="57">
        <f>Volatilities_Resets!$E68*0.01</f>
        <v>3.7860499999999998E-2</v>
      </c>
      <c r="BP79" s="61">
        <f>IF(BN79=BQ$11,Volatilities_Resets!$AA68,IF(BN79&gt;=BP$11,IF(BN79&lt;BQ$11,(((Volatilities_Resets!$AA68-Volatilities_Resets!$Y68)/50)*((Calculator!BN79-Calculator!BP$11)*10000)+Volatilities_Resets!$Y68)),IF(BN79&gt;=BP$10,IF(BN79&lt;BQ$10,(((Volatilities_Resets!$Y68-Volatilities_Resets!$W68)/50)*((Calculator!BN79-Calculator!BP$10)*10000)+Volatilities_Resets!$W68)),IF(BN79&gt;=BP$9,IF(BN79&lt;BQ$9,(((Volatilities_Resets!$W68-Volatilities_Resets!$U68)/50)*((Calculator!BN79-Calculator!BP$9)*10000)+Volatilities_Resets!$U68)),IF(BN79&gt;=BP$8,IF(BN79&lt;BQ$8,(((Volatilities_Resets!$U68-Volatilities_Resets!$S68)/50)*((Calculator!BN79-Calculator!BP$8)*10000)+Volatilities_Resets!$S68)),IF(BN79&gt;=BP$7,IF(BN79&lt;BQ$7,(((Volatilities_Resets!$S68-Volatilities_Resets!$Q68)/50)*((Calculator!BN79-Calculator!BP$7)*10000)+Volatilities_Resets!$Q68)),IF(BN79&gt;=BP$6,IF(BN79&lt;BQ$6,(((Volatilities_Resets!$Q68-Volatilities_Resets!$O68)/50)*((Calculator!BN79-Calculator!BP$6)*10000)+Volatilities_Resets!$O68)),IF(BN79&gt;=BP$5,IF(BN79&lt;BQ$5,(((Volatilities_Resets!$O68-Volatilities_Resets!$M68)/50)*((Calculator!BN79-Calculator!BP$5)*10000)+Volatilities_Resets!$M68)),IF(BN79&gt;=BP$4,IF(BN79&lt;BQ$4,(((Volatilities_Resets!$M68-Volatilities_Resets!$K68)/50)*((Calculator!BN79-Calculator!BP$4)*10000)+Volatilities_Resets!$K68)),IF(BN79&gt;=BP$3,IF(BN79&lt;BQ$3,(((Volatilities_Resets!$K68-Volatilities_Resets!$I68)/50)*((Calculator!BN79-Calculator!BP$3)*10000)+Volatilities_Resets!$I68)),IF(BN79&gt;=BP$2,IF(BN79&lt;BQ$2,(((Volatilities_Resets!$I68-Volatilities_Resets!$G68)/50)*((Calculator!BN79-Calculator!BP$2)*10000)+Volatilities_Resets!$G68)),"Well, something broke...")))))))))))/10000</f>
        <v>1.2761E-2</v>
      </c>
      <c r="BQ79" s="63">
        <f t="shared" ca="1" si="35"/>
        <v>11689.952677173473</v>
      </c>
      <c r="BR79" s="63">
        <f t="shared" ca="1" si="36"/>
        <v>4.73494065600502E-4</v>
      </c>
      <c r="BS79" s="63">
        <f t="shared" ca="1" si="47"/>
        <v>641625.53347730718</v>
      </c>
      <c r="BV79" s="63">
        <f t="shared" ca="1" si="37"/>
        <v>117.04413200297904</v>
      </c>
      <c r="BW79" s="63">
        <f ca="1">SUM($BV$15:BV79)</f>
        <v>5877.6706081783996</v>
      </c>
      <c r="BY79" s="52">
        <f ca="1">EXP(-AVERAGE(BO$15:BO79)*BL79)</f>
        <v>0.79406347065523286</v>
      </c>
      <c r="CA79" s="52">
        <f t="shared" ca="1" si="38"/>
        <v>65</v>
      </c>
      <c r="CB79" s="71">
        <f t="shared" ca="1" si="39"/>
        <v>47140</v>
      </c>
      <c r="CC79" s="71">
        <f t="shared" ref="CC79:CC98" ca="1" si="67">EDATE(CB79,1)</f>
        <v>47171</v>
      </c>
      <c r="CD79" s="72">
        <f t="shared" ref="CD79:CD98" ca="1" si="68">CC79-CB79</f>
        <v>31</v>
      </c>
      <c r="CE79" s="73">
        <f ca="1">SUM(CD$15:CD79)/360</f>
        <v>5.5</v>
      </c>
      <c r="CF79" s="74">
        <f t="shared" ref="CF79:CF98" si="69">$B$2</f>
        <v>25000000</v>
      </c>
      <c r="CG79" s="59">
        <f t="shared" si="40"/>
        <v>0.06</v>
      </c>
      <c r="CH79" s="57">
        <f>Volatilities_Resets!$E68*0.01</f>
        <v>3.7860499999999998E-2</v>
      </c>
      <c r="CI79" s="61">
        <f>IF(CG79=CJ$11,Volatilities_Resets!$AA68,IF(CG79&gt;=CI$11,IF(CG79&lt;CJ$11,(((Volatilities_Resets!$AA68-Volatilities_Resets!$Y68)/50)*((Calculator!CG79-Calculator!CI$11)*10000)+Volatilities_Resets!$Y68)),IF(CG79&gt;=CI$10,IF(CG79&lt;CJ$10,(((Volatilities_Resets!$Y68-Volatilities_Resets!$W68)/50)*((Calculator!CG79-Calculator!CI$10)*10000)+Volatilities_Resets!$W68)),IF(CG79&gt;=CI$9,IF(CG79&lt;CJ$9,(((Volatilities_Resets!$W68-Volatilities_Resets!$U68)/50)*((Calculator!CG79-Calculator!CI$9)*10000)+Volatilities_Resets!$U68)),IF(CG79&gt;=CI$8,IF(CG79&lt;CJ$8,(((Volatilities_Resets!$U68-Volatilities_Resets!$S68)/50)*((Calculator!CG79-Calculator!CI$8)*10000)+Volatilities_Resets!$S68)),IF(CG79&gt;=CI$7,IF(CG79&lt;CJ$7,(((Volatilities_Resets!$S68-Volatilities_Resets!$Q68)/50)*((Calculator!CG79-Calculator!CI$7)*10000)+Volatilities_Resets!$Q68)),IF(CG79&gt;=CI$6,IF(CG79&lt;CJ$6,(((Volatilities_Resets!$Q68-Volatilities_Resets!$O68)/50)*((Calculator!CG79-Calculator!CI$6)*10000)+Volatilities_Resets!$O68)),IF(CG79&gt;=CI$5,IF(CG79&lt;CJ$5,(((Volatilities_Resets!$O68-Volatilities_Resets!$M68)/50)*((Calculator!CG79-Calculator!CI$5)*10000)+Volatilities_Resets!$M68)),IF(CG79&gt;=CI$4,IF(CG79&lt;CJ$4,(((Volatilities_Resets!$M68-Volatilities_Resets!$K68)/50)*((Calculator!CG79-Calculator!CI$4)*10000)+Volatilities_Resets!$K68)),IF(CG79&gt;=CI$3,IF(CG79&lt;CJ$3,(((Volatilities_Resets!$K68-Volatilities_Resets!$I68)/50)*((Calculator!CG79-Calculator!CI$3)*10000)+Volatilities_Resets!$I68)),IF(CG79&gt;=CI$2,IF(CG79&lt;CJ$2,(((Volatilities_Resets!$I68-Volatilities_Resets!$G68)/50)*((Calculator!CG79-Calculator!CI$2)*10000)+Volatilities_Resets!$G68)),"Well, something broke...")))))))))))/10000</f>
        <v>1.3649000000000001E-2</v>
      </c>
      <c r="CJ79" s="63">
        <f t="shared" ca="1" si="41"/>
        <v>7929.3551387184461</v>
      </c>
      <c r="CK79" s="63">
        <f t="shared" ca="1" si="42"/>
        <v>3.2221946025307084E-4</v>
      </c>
      <c r="CL79" s="63">
        <f t="shared" ca="1" si="48"/>
        <v>308790.14829343621</v>
      </c>
      <c r="CO79" s="63">
        <f t="shared" ca="1" si="43"/>
        <v>100.15631152155756</v>
      </c>
      <c r="CP79" s="63">
        <f ca="1">SUM($CO$15:CO79)</f>
        <v>4541.682057562899</v>
      </c>
      <c r="CR79" s="52">
        <f ca="1">EXP(-AVERAGE(CH$15:CH79)*CE79)</f>
        <v>0.79406347065523286</v>
      </c>
      <c r="CT79"/>
      <c r="CU79"/>
      <c r="CV79"/>
      <c r="CW79"/>
      <c r="CX79"/>
      <c r="CY79"/>
      <c r="CZ79"/>
      <c r="DA79"/>
      <c r="DB79"/>
      <c r="DC79"/>
      <c r="DD79"/>
      <c r="DE79"/>
      <c r="DF79"/>
      <c r="DG79"/>
      <c r="DH79"/>
      <c r="DI79"/>
      <c r="DJ79"/>
      <c r="DK79"/>
      <c r="DL79"/>
    </row>
    <row r="80" spans="2:116" ht="15.75" customHeight="1" x14ac:dyDescent="0.2">
      <c r="B80" s="52">
        <v>6</v>
      </c>
      <c r="C80" s="52">
        <f t="shared" ca="1" si="52"/>
        <v>66</v>
      </c>
      <c r="D80" s="71">
        <f t="shared" ref="D80:D98" ca="1" si="70">EDATE(D79,1)</f>
        <v>47171</v>
      </c>
      <c r="E80" s="71">
        <f t="shared" ca="1" si="53"/>
        <v>47199</v>
      </c>
      <c r="F80" s="72">
        <f t="shared" ca="1" si="54"/>
        <v>28</v>
      </c>
      <c r="G80" s="73">
        <f ca="1">SUM($F$15:F80)/360</f>
        <v>5.5777777777777775</v>
      </c>
      <c r="H80" s="74">
        <f t="shared" si="56"/>
        <v>25000000</v>
      </c>
      <c r="I80" s="59">
        <f>IF('Cap Pricer'!$E$22=DataValidation!$C$2,'Cap Pricer'!$E$23,IF('Cap Pricer'!$E$22=DataValidation!$C$3,VLOOKUP($B80,'Cap Pricer'!$C$25:$E$31,3),""))</f>
        <v>0.02</v>
      </c>
      <c r="J80" s="57">
        <f>Volatilities_Resets!$E69*0.01</f>
        <v>3.7850600000000005E-2</v>
      </c>
      <c r="K80" s="61">
        <f>IF(I80=L$11,Volatilities_Resets!$AA69,IF(I80&gt;=K$11,IF(I80&lt;L$11,(((Volatilities_Resets!$AA69-Volatilities_Resets!$Y69)/50)*((Calculator!I80-Calculator!K$11)*10000)+Volatilities_Resets!$Y69)),IF(I80&gt;=K$10,IF(I80&lt;L$10,(((Volatilities_Resets!$Y69-Volatilities_Resets!$W69)/50)*((Calculator!I80-Calculator!K$10)*10000)+Volatilities_Resets!$W69)),IF(I80&gt;=K$9,IF(I80&lt;L$9,(((Volatilities_Resets!$W69-Volatilities_Resets!$U69)/50)*((Calculator!I80-Calculator!K$9)*10000)+Volatilities_Resets!$U69)),IF(I80&gt;=K$8,IF(I80&lt;L$8,(((Volatilities_Resets!$U69-Volatilities_Resets!$S69)/50)*((Calculator!I80-Calculator!K$8)*10000)+Volatilities_Resets!$S69)),IF(I80&gt;=K$7,IF(I80&lt;L$7,(((Volatilities_Resets!$S69-Volatilities_Resets!$Q69)/50)*((Calculator!I80-Calculator!K$7)*10000)+Volatilities_Resets!$Q69)),IF(I80&gt;=K$6,IF(I80&lt;L$6,(((Volatilities_Resets!$Q69-Volatilities_Resets!$O69)/50)*((Calculator!I80-Calculator!K$6)*10000)+Volatilities_Resets!$O69)),IF(I80&gt;=K$5,IF(I80&lt;L$5,(((Volatilities_Resets!$O69-Volatilities_Resets!$M69)/50)*((Calculator!I80-Calculator!K$5)*10000)+Volatilities_Resets!$M69)),IF(I80&gt;=K$4,IF(I80&lt;L$4,(((Volatilities_Resets!$M69-Volatilities_Resets!$K69)/50)*((Calculator!I80-Calculator!K$4)*10000)+Volatilities_Resets!$K69)),IF(I80&gt;=K$3,IF(I80&lt;L$3,(((Volatilities_Resets!$K69-Volatilities_Resets!$I69)/50)*((Calculator!I80-Calculator!K$3)*10000)+Volatilities_Resets!$I69)),IF(I80&gt;=K$2,IF(I80&lt;L$2,(((Volatilities_Resets!$I69-Volatilities_Resets!$G69)/50)*((Calculator!I80-Calculator!K$2)*10000)+Volatilities_Resets!$G69)),"Well, something broke...")))))))))))/10000</f>
        <v>1.1609999999999999E-2</v>
      </c>
      <c r="L80" s="47">
        <f t="shared" ref="L80:L98" ca="1" si="71">(((J80-I80)*(NORMDIST((J80-I80)/(K80*SQRT(G80)),0,1,TRUE)))+((K80*SQRT(G80))*(NORMDIST((J80-I80)/(K80*SQRT(G80)),0,1,FALSE))))*T80*(F80/360)*H80</f>
        <v>34029.001522623934</v>
      </c>
      <c r="M80" s="63">
        <f t="shared" ref="M80:M98" ca="1" si="72">(((J80-I80)*(NORMDIST((J80-I80)/((K80+0.0001)*SQRT(G80)),0,1,TRUE)))+((K80+0.0001)*SQRT(G80))*(NORMDIST((J80-I80)/((K80+0.0001)*SQRT(G80)),0,1,FALSE)))*T80*(F80/360)</f>
        <v>1.3658626812620631E-3</v>
      </c>
      <c r="N80" s="63">
        <f t="shared" ca="1" si="55"/>
        <v>3093472.0230133282</v>
      </c>
      <c r="Q80" s="63">
        <f t="shared" ref="Q80:Q98" ca="1" si="73">((M80-(L80/H80))*H80)*T80</f>
        <v>93.082605006050457</v>
      </c>
      <c r="R80" s="63">
        <f ca="1">SUM($Q$15:Q80)</f>
        <v>4690.4784973271117</v>
      </c>
      <c r="T80" s="52">
        <f ca="1">EXP(-AVERAGE(J$15:J80)*G80)</f>
        <v>0.79175096382512289</v>
      </c>
      <c r="U80" s="57"/>
      <c r="V80" s="52">
        <f t="shared" ref="V80:V98" ca="1" si="74">IF(W80="","",V79+1)</f>
        <v>66</v>
      </c>
      <c r="W80" s="71">
        <f t="shared" ref="W80:W98" ca="1" si="75">EDATE(W79,1)</f>
        <v>47171</v>
      </c>
      <c r="X80" s="71">
        <f t="shared" ca="1" si="57"/>
        <v>47199</v>
      </c>
      <c r="Y80" s="72">
        <f t="shared" ca="1" si="58"/>
        <v>28</v>
      </c>
      <c r="Z80" s="73">
        <f ca="1">SUM(Y$15:Y80)/360</f>
        <v>5.5777777777777775</v>
      </c>
      <c r="AA80" s="74">
        <f t="shared" si="59"/>
        <v>25000000</v>
      </c>
      <c r="AB80" s="59">
        <f t="shared" ref="AB80:AB98" si="76">V$13</f>
        <v>0.03</v>
      </c>
      <c r="AC80" s="57">
        <f>Volatilities_Resets!$E69*0.01</f>
        <v>3.7850600000000005E-2</v>
      </c>
      <c r="AD80" s="61">
        <f>IF(AB80=AE$11,Volatilities_Resets!$AA69,IF(AB80&gt;=AD$11,IF(AB80&lt;AE$11,(((Volatilities_Resets!$AA69-Volatilities_Resets!$Y69)/50)*((Calculator!AB80-Calculator!AD$11)*10000)+Volatilities_Resets!$Y69)),IF(AB80&gt;=AD$10,IF(AB80&lt;AE$10,(((Volatilities_Resets!$Y69-Volatilities_Resets!$W69)/50)*((Calculator!AB80-Calculator!AD$10)*10000)+Volatilities_Resets!$W69)),IF(AB80&gt;=AD$9,IF(AB80&lt;AE$9,(((Volatilities_Resets!$W69-Volatilities_Resets!$U69)/50)*((Calculator!AB80-Calculator!AD$9)*10000)+Volatilities_Resets!$U69)),IF(AB80&gt;=AD$8,IF(AB80&lt;AE$8,(((Volatilities_Resets!$U69-Volatilities_Resets!$S69)/50)*((Calculator!AB80-Calculator!AD$8)*10000)+Volatilities_Resets!$S69)),IF(AB80&gt;=AD$7,IF(AB80&lt;AE$7,(((Volatilities_Resets!$S69-Volatilities_Resets!$Q69)/50)*((Calculator!AB80-Calculator!AD$7)*10000)+Volatilities_Resets!$Q69)),IF(AB80&gt;=AD$6,IF(AB80&lt;AE$6,(((Volatilities_Resets!$Q69-Volatilities_Resets!$O69)/50)*((Calculator!AB80-Calculator!AD$6)*10000)+Volatilities_Resets!$O69)),IF(AB80&gt;=AD$5,IF(AB80&lt;AE$5,(((Volatilities_Resets!$O69-Volatilities_Resets!$M69)/50)*((Calculator!AB80-Calculator!AD$5)*10000)+Volatilities_Resets!$M69)),IF(AB80&gt;=AD$4,IF(AB80&lt;AE$4,(((Volatilities_Resets!$M69-Volatilities_Resets!$K69)/50)*((Calculator!AB80-Calculator!AD$4)*10000)+Volatilities_Resets!$K69)),IF(AB80&gt;=AD$3,IF(AB80&lt;AE$3,(((Volatilities_Resets!$K69-Volatilities_Resets!$I69)/50)*((Calculator!AB80-Calculator!AD$3)*10000)+Volatilities_Resets!$I69)),IF(AB80&gt;=AD$2,IF(AB80&lt;AE$2,(((Volatilities_Resets!$I69-Volatilities_Resets!$G69)/50)*((Calculator!AB80-Calculator!AD$2)*10000)+Volatilities_Resets!$G69)),"Well, something broke...")))))))))))/10000</f>
        <v>1.1704000000000001E-2</v>
      </c>
      <c r="AE80" s="63">
        <f t="shared" ref="AE80:AE98" ca="1" si="77">(((AC80-AB80)*(NORMDIST((AC80-AB80)/(AD80*SQRT(Z80)),0,1,TRUE)))+((AD80*SQRT(Z80))*(NORMDIST((AC80-AB80)/(AD80*SQRT(Z80)),0,1,FALSE))))*AM80*(Y80/360)*AA80</f>
        <v>23700.131502270062</v>
      </c>
      <c r="AF80" s="63">
        <f t="shared" ref="AF80:AF98" ca="1" si="78">(((AC80-AB80)*(NORMDIST((AC80-AB80)/((AD80+0.0001)*SQRT(Z80)),0,1,TRUE)))+((AD80+0.0001)*SQRT(Z80))*(NORMDIST((AC80-AB80)/((AD80+0.0001)*SQRT(Z80)),0,1,FALSE)))*AM80*(Y80/360)</f>
        <v>9.5357990731998409E-4</v>
      </c>
      <c r="AG80" s="63">
        <f t="shared" ca="1" si="45"/>
        <v>2124225.4493735237</v>
      </c>
      <c r="AJ80" s="63">
        <f t="shared" ref="AJ80:AJ98" ca="1" si="79">((AF80-(AE80/AA80))*AA80)*AM80</f>
        <v>110.34330791724059</v>
      </c>
      <c r="AK80" s="63">
        <f ca="1">SUM($AJ$15:AJ80)</f>
        <v>5724.3749025416864</v>
      </c>
      <c r="AM80" s="52">
        <f ca="1">EXP(-AVERAGE(AC$15:AC80)*Z80)</f>
        <v>0.79175096382512289</v>
      </c>
      <c r="AO80" s="52">
        <f t="shared" ref="AO80:AO98" ca="1" si="80">IF(AP80="","",AO79+1)</f>
        <v>66</v>
      </c>
      <c r="AP80" s="71">
        <f t="shared" ref="AP80:AP98" ca="1" si="81">EDATE(AP79,1)</f>
        <v>47171</v>
      </c>
      <c r="AQ80" s="71">
        <f t="shared" ca="1" si="60"/>
        <v>47199</v>
      </c>
      <c r="AR80" s="72">
        <f t="shared" ca="1" si="61"/>
        <v>28</v>
      </c>
      <c r="AS80" s="73">
        <f ca="1">SUM(AR$15:AR80)/360</f>
        <v>5.5777777777777775</v>
      </c>
      <c r="AT80" s="74">
        <f t="shared" si="62"/>
        <v>25000000</v>
      </c>
      <c r="AU80" s="59">
        <f t="shared" ref="AU80:AU98" si="82">AO$13</f>
        <v>0.04</v>
      </c>
      <c r="AV80" s="57">
        <f>Volatilities_Resets!$E69*0.01</f>
        <v>3.7850600000000005E-2</v>
      </c>
      <c r="AW80" s="61">
        <f>IF(AU80=AX$11,Volatilities_Resets!$AA69,IF(AU80&gt;=AW$11,IF(AU80&lt;AX$11,(((Volatilities_Resets!$AA69-Volatilities_Resets!$Y69)/50)*((Calculator!AU80-Calculator!AW$11)*10000)+Volatilities_Resets!$Y69)),IF(AU80&gt;=AW$10,IF(AU80&lt;AX$10,(((Volatilities_Resets!$Y69-Volatilities_Resets!$W69)/50)*((Calculator!AU80-Calculator!AW$10)*10000)+Volatilities_Resets!$W69)),IF(AU80&gt;=AW$9,IF(AU80&lt;AX$9,(((Volatilities_Resets!$W69-Volatilities_Resets!$U69)/50)*((Calculator!AU80-Calculator!AW$9)*10000)+Volatilities_Resets!$U69)),IF(AU80&gt;=AW$8,IF(AU80&lt;AX$8,(((Volatilities_Resets!$U69-Volatilities_Resets!$S69)/50)*((Calculator!AU80-Calculator!AW$8)*10000)+Volatilities_Resets!$S69)),IF(AU80&gt;=AW$7,IF(AU80&lt;AX$7,(((Volatilities_Resets!$S69-Volatilities_Resets!$Q69)/50)*((Calculator!AU80-Calculator!AW$7)*10000)+Volatilities_Resets!$Q69)),IF(AU80&gt;=AW$6,IF(AU80&lt;AX$6,(((Volatilities_Resets!$Q69-Volatilities_Resets!$O69)/50)*((Calculator!AU80-Calculator!AW$6)*10000)+Volatilities_Resets!$O69)),IF(AU80&gt;=AW$5,IF(AU80&lt;AX$5,(((Volatilities_Resets!$O69-Volatilities_Resets!$M69)/50)*((Calculator!AU80-Calculator!AW$5)*10000)+Volatilities_Resets!$M69)),IF(AU80&gt;=AW$4,IF(AU80&lt;AX$4,(((Volatilities_Resets!$M69-Volatilities_Resets!$K69)/50)*((Calculator!AU80-Calculator!AW$4)*10000)+Volatilities_Resets!$K69)),IF(AU80&gt;=AW$3,IF(AU80&lt;AX$3,(((Volatilities_Resets!$K69-Volatilities_Resets!$I69)/50)*((Calculator!AU80-Calculator!AW$3)*10000)+Volatilities_Resets!$I69)),IF(AU80&gt;=AW$2,IF(AU80&lt;AX$2,(((Volatilities_Resets!$I69-Volatilities_Resets!$G69)/50)*((Calculator!AU80-Calculator!AW$2)*10000)+Volatilities_Resets!$G69)),"Well, something broke...")))))))))))/10000</f>
        <v>1.209E-2</v>
      </c>
      <c r="AX80" s="63">
        <f t="shared" ref="AX80:AX98" ca="1" si="83">(((AV80-AU80)*(NORMDIST((AV80-AU80)/(AW80*SQRT(AS80)),0,1,TRUE)))+((AW80*SQRT(AS80))*(NORMDIST((AV80-AU80)/(AW80*SQRT(AS80)),0,1,FALSE))))*BF80*(AR80/360)*AT80</f>
        <v>15931.976595034525</v>
      </c>
      <c r="AY80" s="63">
        <f t="shared" ref="AY80:AY98" ca="1" si="84">(((AV80-AU80)*(NORMDIST((AV80-AU80)/((AW80+0.0001)*SQRT(AS80)),0,1,TRUE)))+((AW80+0.0001)*SQRT(AS80))*(NORMDIST((AV80-AU80)/((AW80+0.0001)*SQRT(AS80)),0,1,FALSE)))*BF80*(AR80/360)</f>
        <v>6.4306487708130108E-4</v>
      </c>
      <c r="AZ80" s="63">
        <f t="shared" ca="1" si="46"/>
        <v>1287153.5729277276</v>
      </c>
      <c r="BC80" s="63">
        <f t="shared" ca="1" si="63"/>
        <v>114.52308102222322</v>
      </c>
      <c r="BD80" s="63">
        <f ca="1">SUM($BC$15:BC80)</f>
        <v>6189.6078794526902</v>
      </c>
      <c r="BF80" s="52">
        <f ca="1">EXP(-AVERAGE(AV$15:AV80)*AS80)</f>
        <v>0.79175096382512289</v>
      </c>
      <c r="BH80" s="52">
        <f t="shared" ref="BH80:BH98" ca="1" si="85">IF(BI80="","",BH79+1)</f>
        <v>66</v>
      </c>
      <c r="BI80" s="71">
        <f t="shared" ref="BI80:BI98" ca="1" si="86">EDATE(BI79,1)</f>
        <v>47171</v>
      </c>
      <c r="BJ80" s="71">
        <f t="shared" ca="1" si="64"/>
        <v>47199</v>
      </c>
      <c r="BK80" s="72">
        <f t="shared" ca="1" si="65"/>
        <v>28</v>
      </c>
      <c r="BL80" s="73">
        <f ca="1">SUM(BK$15:BK80)/360</f>
        <v>5.5777777777777775</v>
      </c>
      <c r="BM80" s="74">
        <f t="shared" si="66"/>
        <v>25000000</v>
      </c>
      <c r="BN80" s="59">
        <f t="shared" ref="BN80:BN98" si="87">BH$13</f>
        <v>0.05</v>
      </c>
      <c r="BO80" s="57">
        <f>Volatilities_Resets!$E69*0.01</f>
        <v>3.7850600000000005E-2</v>
      </c>
      <c r="BP80" s="61">
        <f>IF(BN80=BQ$11,Volatilities_Resets!$AA69,IF(BN80&gt;=BP$11,IF(BN80&lt;BQ$11,(((Volatilities_Resets!$AA69-Volatilities_Resets!$Y69)/50)*((Calculator!BN80-Calculator!BP$11)*10000)+Volatilities_Resets!$Y69)),IF(BN80&gt;=BP$10,IF(BN80&lt;BQ$10,(((Volatilities_Resets!$Y69-Volatilities_Resets!$W69)/50)*((Calculator!BN80-Calculator!BP$10)*10000)+Volatilities_Resets!$W69)),IF(BN80&gt;=BP$9,IF(BN80&lt;BQ$9,(((Volatilities_Resets!$W69-Volatilities_Resets!$U69)/50)*((Calculator!BN80-Calculator!BP$9)*10000)+Volatilities_Resets!$U69)),IF(BN80&gt;=BP$8,IF(BN80&lt;BQ$8,(((Volatilities_Resets!$U69-Volatilities_Resets!$S69)/50)*((Calculator!BN80-Calculator!BP$8)*10000)+Volatilities_Resets!$S69)),IF(BN80&gt;=BP$7,IF(BN80&lt;BQ$7,(((Volatilities_Resets!$S69-Volatilities_Resets!$Q69)/50)*((Calculator!BN80-Calculator!BP$7)*10000)+Volatilities_Resets!$Q69)),IF(BN80&gt;=BP$6,IF(BN80&lt;BQ$6,(((Volatilities_Resets!$Q69-Volatilities_Resets!$O69)/50)*((Calculator!BN80-Calculator!BP$6)*10000)+Volatilities_Resets!$O69)),IF(BN80&gt;=BP$5,IF(BN80&lt;BQ$5,(((Volatilities_Resets!$O69-Volatilities_Resets!$M69)/50)*((Calculator!BN80-Calculator!BP$5)*10000)+Volatilities_Resets!$M69)),IF(BN80&gt;=BP$4,IF(BN80&lt;BQ$4,(((Volatilities_Resets!$M69-Volatilities_Resets!$K69)/50)*((Calculator!BN80-Calculator!BP$4)*10000)+Volatilities_Resets!$K69)),IF(BN80&gt;=BP$3,IF(BN80&lt;BQ$3,(((Volatilities_Resets!$K69-Volatilities_Resets!$I69)/50)*((Calculator!BN80-Calculator!BP$3)*10000)+Volatilities_Resets!$I69)),IF(BN80&gt;=BP$2,IF(BN80&lt;BQ$2,(((Volatilities_Resets!$I69-Volatilities_Resets!$G69)/50)*((Calculator!BN80-Calculator!BP$2)*10000)+Volatilities_Resets!$G69)),"Well, something broke...")))))))))))/10000</f>
        <v>1.2761E-2</v>
      </c>
      <c r="BQ80" s="63">
        <f t="shared" ref="BQ80:BQ98" ca="1" si="88">(((BO80-BN80)*(NORMDIST((BO80-BN80)/(BP80*SQRT(BL80)),0,1,TRUE)))+((BP80*SQRT(BL80))*(NORMDIST((BO80-BN80)/(BP80*SQRT(BL80)),0,1,FALSE))))*BY80*(BK80/360)*BM80</f>
        <v>10642.03072512419</v>
      </c>
      <c r="BR80" s="63">
        <f t="shared" ref="BR80:BR98" ca="1" si="89">(((BO80-BN80)*(NORMDIST((BO80-BN80)/((BP80+0.0001)*SQRT(BL80)),0,1,TRUE)))+((BP80+0.0001)*SQRT(BL80))*(NORMDIST((BO80-BN80)/((BP80+0.0001)*SQRT(BL80)),0,1,FALSE)))*BY80*(BK80/360)</f>
        <v>4.3103390186094838E-4</v>
      </c>
      <c r="BS80" s="63">
        <f t="shared" ca="1" si="47"/>
        <v>652267.56420243136</v>
      </c>
      <c r="BV80" s="63">
        <f t="shared" ref="BV80:BV98" ca="1" si="90">((BR80-(BQ80/BM80))*BM80)*BY80</f>
        <v>105.94959731908344</v>
      </c>
      <c r="BW80" s="63">
        <f ca="1">SUM($BV$15:BV80)</f>
        <v>5983.6202054974829</v>
      </c>
      <c r="BY80" s="52">
        <f ca="1">EXP(-AVERAGE(BO$15:BO80)*BL80)</f>
        <v>0.79175096382512289</v>
      </c>
      <c r="CA80" s="52">
        <f t="shared" ref="CA80:CA98" ca="1" si="91">IF(CB80="","",CA79+1)</f>
        <v>66</v>
      </c>
      <c r="CB80" s="71">
        <f t="shared" ref="CB80:CB98" ca="1" si="92">EDATE(CB79,1)</f>
        <v>47171</v>
      </c>
      <c r="CC80" s="71">
        <f t="shared" ca="1" si="67"/>
        <v>47199</v>
      </c>
      <c r="CD80" s="72">
        <f t="shared" ca="1" si="68"/>
        <v>28</v>
      </c>
      <c r="CE80" s="73">
        <f ca="1">SUM(CD$15:CD80)/360</f>
        <v>5.5777777777777775</v>
      </c>
      <c r="CF80" s="74">
        <f t="shared" si="69"/>
        <v>25000000</v>
      </c>
      <c r="CG80" s="59">
        <f t="shared" ref="CG80:CG98" si="93">CA$13</f>
        <v>0.06</v>
      </c>
      <c r="CH80" s="57">
        <f>Volatilities_Resets!$E69*0.01</f>
        <v>3.7850600000000005E-2</v>
      </c>
      <c r="CI80" s="61">
        <f>IF(CG80=CJ$11,Volatilities_Resets!$AA69,IF(CG80&gt;=CI$11,IF(CG80&lt;CJ$11,(((Volatilities_Resets!$AA69-Volatilities_Resets!$Y69)/50)*((Calculator!CG80-Calculator!CI$11)*10000)+Volatilities_Resets!$Y69)),IF(CG80&gt;=CI$10,IF(CG80&lt;CJ$10,(((Volatilities_Resets!$Y69-Volatilities_Resets!$W69)/50)*((Calculator!CG80-Calculator!CI$10)*10000)+Volatilities_Resets!$W69)),IF(CG80&gt;=CI$9,IF(CG80&lt;CJ$9,(((Volatilities_Resets!$W69-Volatilities_Resets!$U69)/50)*((Calculator!CG80-Calculator!CI$9)*10000)+Volatilities_Resets!$U69)),IF(CG80&gt;=CI$8,IF(CG80&lt;CJ$8,(((Volatilities_Resets!$U69-Volatilities_Resets!$S69)/50)*((Calculator!CG80-Calculator!CI$8)*10000)+Volatilities_Resets!$S69)),IF(CG80&gt;=CI$7,IF(CG80&lt;CJ$7,(((Volatilities_Resets!$S69-Volatilities_Resets!$Q69)/50)*((Calculator!CG80-Calculator!CI$7)*10000)+Volatilities_Resets!$Q69)),IF(CG80&gt;=CI$6,IF(CG80&lt;CJ$6,(((Volatilities_Resets!$Q69-Volatilities_Resets!$O69)/50)*((Calculator!CG80-Calculator!CI$6)*10000)+Volatilities_Resets!$O69)),IF(CG80&gt;=CI$5,IF(CG80&lt;CJ$5,(((Volatilities_Resets!$O69-Volatilities_Resets!$M69)/50)*((Calculator!CG80-Calculator!CI$5)*10000)+Volatilities_Resets!$M69)),IF(CG80&gt;=CI$4,IF(CG80&lt;CJ$4,(((Volatilities_Resets!$M69-Volatilities_Resets!$K69)/50)*((Calculator!CG80-Calculator!CI$4)*10000)+Volatilities_Resets!$K69)),IF(CG80&gt;=CI$3,IF(CG80&lt;CJ$3,(((Volatilities_Resets!$K69-Volatilities_Resets!$I69)/50)*((Calculator!CG80-Calculator!CI$3)*10000)+Volatilities_Resets!$I69)),IF(CG80&gt;=CI$2,IF(CG80&lt;CJ$2,(((Volatilities_Resets!$I69-Volatilities_Resets!$G69)/50)*((Calculator!CG80-Calculator!CI$2)*10000)+Volatilities_Resets!$G69)),"Well, something broke...")))))))))))/10000</f>
        <v>1.3650000000000001E-2</v>
      </c>
      <c r="CJ80" s="63">
        <f t="shared" ref="CJ80:CJ98" ca="1" si="94">(((CH80-CG80)*(NORMDIST((CH80-CG80)/(CI80*SQRT(CE80)),0,1,TRUE)))+((CI80*SQRT(CE80))*(NORMDIST((CH80-CG80)/(CI80*SQRT(CE80)),0,1,FALSE))))*CR80*(CD80/360)*CF80</f>
        <v>7247.7707538742252</v>
      </c>
      <c r="CK80" s="63">
        <f t="shared" ref="CK80:CK98" ca="1" si="95">(((CH80-CG80)*(NORMDIST((CH80-CG80)/((CI80+0.0001)*SQRT(CE80)),0,1,TRUE)))+((CI80+0.0001)*SQRT(CE80))*(NORMDIST((CH80-CG80)/((CI80+0.0001)*SQRT(CE80)),0,1,FALSE)))*CR80*(CD80/360)</f>
        <v>2.9450094906775608E-4</v>
      </c>
      <c r="CL80" s="63">
        <f t="shared" ca="1" si="48"/>
        <v>316037.91904731042</v>
      </c>
      <c r="CO80" s="63">
        <f t="shared" ref="CO80:CO98" ca="1" si="96">((CK80-(CJ80/CF80))*CF80)*CR80</f>
        <v>90.855776831777177</v>
      </c>
      <c r="CP80" s="63">
        <f ca="1">SUM($CO$15:CO80)</f>
        <v>4632.5378343946759</v>
      </c>
      <c r="CR80" s="52">
        <f ca="1">EXP(-AVERAGE(CH$15:CH80)*CE80)</f>
        <v>0.79175096382512289</v>
      </c>
      <c r="CT80"/>
      <c r="CU80"/>
      <c r="CV80"/>
      <c r="CW80"/>
      <c r="CX80"/>
      <c r="CY80"/>
      <c r="CZ80"/>
      <c r="DA80"/>
      <c r="DB80"/>
      <c r="DC80"/>
      <c r="DD80"/>
      <c r="DE80"/>
      <c r="DF80"/>
      <c r="DG80"/>
      <c r="DH80"/>
      <c r="DI80"/>
      <c r="DJ80"/>
      <c r="DK80"/>
      <c r="DL80"/>
    </row>
    <row r="81" spans="2:116" ht="15.75" customHeight="1" x14ac:dyDescent="0.2">
      <c r="B81" s="52">
        <v>6</v>
      </c>
      <c r="C81" s="52">
        <f t="shared" ca="1" si="52"/>
        <v>67</v>
      </c>
      <c r="D81" s="71">
        <f t="shared" ca="1" si="70"/>
        <v>47199</v>
      </c>
      <c r="E81" s="71">
        <f t="shared" ca="1" si="53"/>
        <v>47230</v>
      </c>
      <c r="F81" s="72">
        <f t="shared" ca="1" si="54"/>
        <v>31</v>
      </c>
      <c r="G81" s="73">
        <f ca="1">SUM($F$15:F81)/360</f>
        <v>5.6638888888888888</v>
      </c>
      <c r="H81" s="74">
        <f t="shared" si="56"/>
        <v>25000000</v>
      </c>
      <c r="I81" s="59">
        <f>IF('Cap Pricer'!$E$22=DataValidation!$C$2,'Cap Pricer'!$E$23,IF('Cap Pricer'!$E$22=DataValidation!$C$3,VLOOKUP($B81,'Cap Pricer'!$C$25:$E$31,3),""))</f>
        <v>0.02</v>
      </c>
      <c r="J81" s="57">
        <f>Volatilities_Resets!$E70*0.01</f>
        <v>3.7856600000000004E-2</v>
      </c>
      <c r="K81" s="61">
        <f>IF(I81=L$11,Volatilities_Resets!$AA70,IF(I81&gt;=K$11,IF(I81&lt;L$11,(((Volatilities_Resets!$AA70-Volatilities_Resets!$Y70)/50)*((Calculator!I81-Calculator!K$11)*10000)+Volatilities_Resets!$Y70)),IF(I81&gt;=K$10,IF(I81&lt;L$10,(((Volatilities_Resets!$Y70-Volatilities_Resets!$W70)/50)*((Calculator!I81-Calculator!K$10)*10000)+Volatilities_Resets!$W70)),IF(I81&gt;=K$9,IF(I81&lt;L$9,(((Volatilities_Resets!$W70-Volatilities_Resets!$U70)/50)*((Calculator!I81-Calculator!K$9)*10000)+Volatilities_Resets!$U70)),IF(I81&gt;=K$8,IF(I81&lt;L$8,(((Volatilities_Resets!$U70-Volatilities_Resets!$S70)/50)*((Calculator!I81-Calculator!K$8)*10000)+Volatilities_Resets!$S70)),IF(I81&gt;=K$7,IF(I81&lt;L$7,(((Volatilities_Resets!$S70-Volatilities_Resets!$Q70)/50)*((Calculator!I81-Calculator!K$7)*10000)+Volatilities_Resets!$Q70)),IF(I81&gt;=K$6,IF(I81&lt;L$6,(((Volatilities_Resets!$Q70-Volatilities_Resets!$O70)/50)*((Calculator!I81-Calculator!K$6)*10000)+Volatilities_Resets!$O70)),IF(I81&gt;=K$5,IF(I81&lt;L$5,(((Volatilities_Resets!$O70-Volatilities_Resets!$M70)/50)*((Calculator!I81-Calculator!K$5)*10000)+Volatilities_Resets!$M70)),IF(I81&gt;=K$4,IF(I81&lt;L$4,(((Volatilities_Resets!$M70-Volatilities_Resets!$K70)/50)*((Calculator!I81-Calculator!K$4)*10000)+Volatilities_Resets!$K70)),IF(I81&gt;=K$3,IF(I81&lt;L$3,(((Volatilities_Resets!$K70-Volatilities_Resets!$I70)/50)*((Calculator!I81-Calculator!K$3)*10000)+Volatilities_Resets!$I70)),IF(I81&gt;=K$2,IF(I81&lt;L$2,(((Volatilities_Resets!$I70-Volatilities_Resets!$G70)/50)*((Calculator!I81-Calculator!K$2)*10000)+Volatilities_Resets!$G70)),"Well, something broke...")))))))))))/10000</f>
        <v>1.1609999999999999E-2</v>
      </c>
      <c r="L81" s="47">
        <f t="shared" ca="1" si="71"/>
        <v>37675.467363956413</v>
      </c>
      <c r="M81" s="63">
        <f t="shared" ca="1" si="72"/>
        <v>1.5122640953552887E-3</v>
      </c>
      <c r="N81" s="63">
        <f t="shared" ca="1" si="55"/>
        <v>3131147.4903772846</v>
      </c>
      <c r="Q81" s="63">
        <f t="shared" ca="1" si="73"/>
        <v>103.48771553556081</v>
      </c>
      <c r="R81" s="63">
        <f ca="1">SUM($Q$15:Q81)</f>
        <v>4793.9662128626724</v>
      </c>
      <c r="T81" s="52">
        <f ca="1">EXP(-AVERAGE(J$15:J81)*G81)</f>
        <v>0.78916917535921671</v>
      </c>
      <c r="U81" s="57"/>
      <c r="V81" s="52">
        <f t="shared" ca="1" si="74"/>
        <v>67</v>
      </c>
      <c r="W81" s="71">
        <f t="shared" ca="1" si="75"/>
        <v>47199</v>
      </c>
      <c r="X81" s="71">
        <f t="shared" ca="1" si="57"/>
        <v>47230</v>
      </c>
      <c r="Y81" s="72">
        <f t="shared" ca="1" si="58"/>
        <v>31</v>
      </c>
      <c r="Z81" s="73">
        <f ca="1">SUM(Y$15:Y81)/360</f>
        <v>5.6638888888888888</v>
      </c>
      <c r="AA81" s="74">
        <f t="shared" si="59"/>
        <v>25000000</v>
      </c>
      <c r="AB81" s="59">
        <f t="shared" si="76"/>
        <v>0.03</v>
      </c>
      <c r="AC81" s="57">
        <f>Volatilities_Resets!$E70*0.01</f>
        <v>3.7856600000000004E-2</v>
      </c>
      <c r="AD81" s="61">
        <f>IF(AB81=AE$11,Volatilities_Resets!$AA70,IF(AB81&gt;=AD$11,IF(AB81&lt;AE$11,(((Volatilities_Resets!$AA70-Volatilities_Resets!$Y70)/50)*((Calculator!AB81-Calculator!AD$11)*10000)+Volatilities_Resets!$Y70)),IF(AB81&gt;=AD$10,IF(AB81&lt;AE$10,(((Volatilities_Resets!$Y70-Volatilities_Resets!$W70)/50)*((Calculator!AB81-Calculator!AD$10)*10000)+Volatilities_Resets!$W70)),IF(AB81&gt;=AD$9,IF(AB81&lt;AE$9,(((Volatilities_Resets!$W70-Volatilities_Resets!$U70)/50)*((Calculator!AB81-Calculator!AD$9)*10000)+Volatilities_Resets!$U70)),IF(AB81&gt;=AD$8,IF(AB81&lt;AE$8,(((Volatilities_Resets!$U70-Volatilities_Resets!$S70)/50)*((Calculator!AB81-Calculator!AD$8)*10000)+Volatilities_Resets!$S70)),IF(AB81&gt;=AD$7,IF(AB81&lt;AE$7,(((Volatilities_Resets!$S70-Volatilities_Resets!$Q70)/50)*((Calculator!AB81-Calculator!AD$7)*10000)+Volatilities_Resets!$Q70)),IF(AB81&gt;=AD$6,IF(AB81&lt;AE$6,(((Volatilities_Resets!$Q70-Volatilities_Resets!$O70)/50)*((Calculator!AB81-Calculator!AD$6)*10000)+Volatilities_Resets!$O70)),IF(AB81&gt;=AD$5,IF(AB81&lt;AE$5,(((Volatilities_Resets!$O70-Volatilities_Resets!$M70)/50)*((Calculator!AB81-Calculator!AD$5)*10000)+Volatilities_Resets!$M70)),IF(AB81&gt;=AD$4,IF(AB81&lt;AE$4,(((Volatilities_Resets!$M70-Volatilities_Resets!$K70)/50)*((Calculator!AB81-Calculator!AD$4)*10000)+Volatilities_Resets!$K70)),IF(AB81&gt;=AD$3,IF(AB81&lt;AE$3,(((Volatilities_Resets!$K70-Volatilities_Resets!$I70)/50)*((Calculator!AB81-Calculator!AD$3)*10000)+Volatilities_Resets!$I70)),IF(AB81&gt;=AD$2,IF(AB81&lt;AE$2,(((Volatilities_Resets!$I70-Volatilities_Resets!$G70)/50)*((Calculator!AB81-Calculator!AD$2)*10000)+Volatilities_Resets!$G70)),"Well, something broke...")))))))))))/10000</f>
        <v>1.1704000000000001E-2</v>
      </c>
      <c r="AE81" s="63">
        <f t="shared" ca="1" si="77"/>
        <v>26298.505269030957</v>
      </c>
      <c r="AF81" s="63">
        <f t="shared" ca="1" si="78"/>
        <v>1.0581427170950704E-3</v>
      </c>
      <c r="AG81" s="63">
        <f t="shared" ca="1" si="45"/>
        <v>2150523.9546425547</v>
      </c>
      <c r="AJ81" s="63">
        <f t="shared" ca="1" si="79"/>
        <v>122.37067021576573</v>
      </c>
      <c r="AK81" s="63">
        <f ca="1">SUM($AJ$15:AJ81)</f>
        <v>5846.7455727574525</v>
      </c>
      <c r="AM81" s="52">
        <f ca="1">EXP(-AVERAGE(AC$15:AC81)*Z81)</f>
        <v>0.78916917535921671</v>
      </c>
      <c r="AO81" s="52">
        <f t="shared" ca="1" si="80"/>
        <v>67</v>
      </c>
      <c r="AP81" s="71">
        <f t="shared" ca="1" si="81"/>
        <v>47199</v>
      </c>
      <c r="AQ81" s="71">
        <f t="shared" ca="1" si="60"/>
        <v>47230</v>
      </c>
      <c r="AR81" s="72">
        <f t="shared" ca="1" si="61"/>
        <v>31</v>
      </c>
      <c r="AS81" s="73">
        <f ca="1">SUM(AR$15:AR81)/360</f>
        <v>5.6638888888888888</v>
      </c>
      <c r="AT81" s="74">
        <f t="shared" si="62"/>
        <v>25000000</v>
      </c>
      <c r="AU81" s="59">
        <f t="shared" si="82"/>
        <v>0.04</v>
      </c>
      <c r="AV81" s="57">
        <f>Volatilities_Resets!$E70*0.01</f>
        <v>3.7856600000000004E-2</v>
      </c>
      <c r="AW81" s="61">
        <f>IF(AU81=AX$11,Volatilities_Resets!$AA70,IF(AU81&gt;=AW$11,IF(AU81&lt;AX$11,(((Volatilities_Resets!$AA70-Volatilities_Resets!$Y70)/50)*((Calculator!AU81-Calculator!AW$11)*10000)+Volatilities_Resets!$Y70)),IF(AU81&gt;=AW$10,IF(AU81&lt;AX$10,(((Volatilities_Resets!$Y70-Volatilities_Resets!$W70)/50)*((Calculator!AU81-Calculator!AW$10)*10000)+Volatilities_Resets!$W70)),IF(AU81&gt;=AW$9,IF(AU81&lt;AX$9,(((Volatilities_Resets!$W70-Volatilities_Resets!$U70)/50)*((Calculator!AU81-Calculator!AW$9)*10000)+Volatilities_Resets!$U70)),IF(AU81&gt;=AW$8,IF(AU81&lt;AX$8,(((Volatilities_Resets!$U70-Volatilities_Resets!$S70)/50)*((Calculator!AU81-Calculator!AW$8)*10000)+Volatilities_Resets!$S70)),IF(AU81&gt;=AW$7,IF(AU81&lt;AX$7,(((Volatilities_Resets!$S70-Volatilities_Resets!$Q70)/50)*((Calculator!AU81-Calculator!AW$7)*10000)+Volatilities_Resets!$Q70)),IF(AU81&gt;=AW$6,IF(AU81&lt;AX$6,(((Volatilities_Resets!$Q70-Volatilities_Resets!$O70)/50)*((Calculator!AU81-Calculator!AW$6)*10000)+Volatilities_Resets!$O70)),IF(AU81&gt;=AW$5,IF(AU81&lt;AX$5,(((Volatilities_Resets!$O70-Volatilities_Resets!$M70)/50)*((Calculator!AU81-Calculator!AW$5)*10000)+Volatilities_Resets!$M70)),IF(AU81&gt;=AW$4,IF(AU81&lt;AX$4,(((Volatilities_Resets!$M70-Volatilities_Resets!$K70)/50)*((Calculator!AU81-Calculator!AW$4)*10000)+Volatilities_Resets!$K70)),IF(AU81&gt;=AW$3,IF(AU81&lt;AX$3,(((Volatilities_Resets!$K70-Volatilities_Resets!$I70)/50)*((Calculator!AU81-Calculator!AW$3)*10000)+Volatilities_Resets!$I70)),IF(AU81&gt;=AW$2,IF(AU81&lt;AX$2,(((Volatilities_Resets!$I70-Volatilities_Resets!$G70)/50)*((Calculator!AU81-Calculator!AW$2)*10000)+Volatilities_Resets!$G70)),"Well, something broke...")))))))))))/10000</f>
        <v>1.209E-2</v>
      </c>
      <c r="AX81" s="63">
        <f t="shared" ca="1" si="83"/>
        <v>17734.643609366325</v>
      </c>
      <c r="AY81" s="63">
        <f t="shared" ca="1" si="84"/>
        <v>7.1582004876676215E-4</v>
      </c>
      <c r="AZ81" s="63">
        <f t="shared" ca="1" si="46"/>
        <v>1304888.216537094</v>
      </c>
      <c r="BC81" s="63">
        <f t="shared" ca="1" si="63"/>
        <v>126.94386727827325</v>
      </c>
      <c r="BD81" s="63">
        <f ca="1">SUM($BC$15:BC81)</f>
        <v>6316.5517467309637</v>
      </c>
      <c r="BF81" s="52">
        <f ca="1">EXP(-AVERAGE(AV$15:AV81)*AS81)</f>
        <v>0.78916917535921671</v>
      </c>
      <c r="BH81" s="52">
        <f t="shared" ca="1" si="85"/>
        <v>67</v>
      </c>
      <c r="BI81" s="71">
        <f t="shared" ca="1" si="86"/>
        <v>47199</v>
      </c>
      <c r="BJ81" s="71">
        <f t="shared" ca="1" si="64"/>
        <v>47230</v>
      </c>
      <c r="BK81" s="72">
        <f t="shared" ca="1" si="65"/>
        <v>31</v>
      </c>
      <c r="BL81" s="73">
        <f ca="1">SUM(BK$15:BK81)/360</f>
        <v>5.6638888888888888</v>
      </c>
      <c r="BM81" s="74">
        <f t="shared" si="66"/>
        <v>25000000</v>
      </c>
      <c r="BN81" s="59">
        <f t="shared" si="87"/>
        <v>0.05</v>
      </c>
      <c r="BO81" s="57">
        <f>Volatilities_Resets!$E70*0.01</f>
        <v>3.7856600000000004E-2</v>
      </c>
      <c r="BP81" s="61">
        <f>IF(BN81=BQ$11,Volatilities_Resets!$AA70,IF(BN81&gt;=BP$11,IF(BN81&lt;BQ$11,(((Volatilities_Resets!$AA70-Volatilities_Resets!$Y70)/50)*((Calculator!BN81-Calculator!BP$11)*10000)+Volatilities_Resets!$Y70)),IF(BN81&gt;=BP$10,IF(BN81&lt;BQ$10,(((Volatilities_Resets!$Y70-Volatilities_Resets!$W70)/50)*((Calculator!BN81-Calculator!BP$10)*10000)+Volatilities_Resets!$W70)),IF(BN81&gt;=BP$9,IF(BN81&lt;BQ$9,(((Volatilities_Resets!$W70-Volatilities_Resets!$U70)/50)*((Calculator!BN81-Calculator!BP$9)*10000)+Volatilities_Resets!$U70)),IF(BN81&gt;=BP$8,IF(BN81&lt;BQ$8,(((Volatilities_Resets!$U70-Volatilities_Resets!$S70)/50)*((Calculator!BN81-Calculator!BP$8)*10000)+Volatilities_Resets!$S70)),IF(BN81&gt;=BP$7,IF(BN81&lt;BQ$7,(((Volatilities_Resets!$S70-Volatilities_Resets!$Q70)/50)*((Calculator!BN81-Calculator!BP$7)*10000)+Volatilities_Resets!$Q70)),IF(BN81&gt;=BP$6,IF(BN81&lt;BQ$6,(((Volatilities_Resets!$Q70-Volatilities_Resets!$O70)/50)*((Calculator!BN81-Calculator!BP$6)*10000)+Volatilities_Resets!$O70)),IF(BN81&gt;=BP$5,IF(BN81&lt;BQ$5,(((Volatilities_Resets!$O70-Volatilities_Resets!$M70)/50)*((Calculator!BN81-Calculator!BP$5)*10000)+Volatilities_Resets!$M70)),IF(BN81&gt;=BP$4,IF(BN81&lt;BQ$4,(((Volatilities_Resets!$M70-Volatilities_Resets!$K70)/50)*((Calculator!BN81-Calculator!BP$4)*10000)+Volatilities_Resets!$K70)),IF(BN81&gt;=BP$3,IF(BN81&lt;BQ$3,(((Volatilities_Resets!$K70-Volatilities_Resets!$I70)/50)*((Calculator!BN81-Calculator!BP$3)*10000)+Volatilities_Resets!$I70)),IF(BN81&gt;=BP$2,IF(BN81&lt;BQ$2,(((Volatilities_Resets!$I70-Volatilities_Resets!$G70)/50)*((Calculator!BN81-Calculator!BP$2)*10000)+Volatilities_Resets!$G70)),"Well, something broke...")))))))))))/10000</f>
        <v>1.2761E-2</v>
      </c>
      <c r="BQ81" s="63">
        <f t="shared" ca="1" si="88"/>
        <v>11892.243520018317</v>
      </c>
      <c r="BR81" s="63">
        <f t="shared" ca="1" si="89"/>
        <v>4.8164977870612704E-4</v>
      </c>
      <c r="BS81" s="63">
        <f t="shared" ca="1" si="47"/>
        <v>664159.80772244965</v>
      </c>
      <c r="BV81" s="63">
        <f t="shared" ca="1" si="90"/>
        <v>117.58695497274384</v>
      </c>
      <c r="BW81" s="63">
        <f ca="1">SUM($BV$15:BV81)</f>
        <v>6101.2071604702269</v>
      </c>
      <c r="BY81" s="52">
        <f ca="1">EXP(-AVERAGE(BO$15:BO81)*BL81)</f>
        <v>0.78916917535921671</v>
      </c>
      <c r="CA81" s="52">
        <f t="shared" ca="1" si="91"/>
        <v>67</v>
      </c>
      <c r="CB81" s="71">
        <f t="shared" ca="1" si="92"/>
        <v>47199</v>
      </c>
      <c r="CC81" s="71">
        <f t="shared" ca="1" si="67"/>
        <v>47230</v>
      </c>
      <c r="CD81" s="72">
        <f t="shared" ca="1" si="68"/>
        <v>31</v>
      </c>
      <c r="CE81" s="73">
        <f ca="1">SUM(CD$15:CD81)/360</f>
        <v>5.6638888888888888</v>
      </c>
      <c r="CF81" s="74">
        <f t="shared" si="69"/>
        <v>25000000</v>
      </c>
      <c r="CG81" s="59">
        <f t="shared" si="93"/>
        <v>0.06</v>
      </c>
      <c r="CH81" s="57">
        <f>Volatilities_Resets!$E70*0.01</f>
        <v>3.7856600000000004E-2</v>
      </c>
      <c r="CI81" s="61">
        <f>IF(CG81=CJ$11,Volatilities_Resets!$AA70,IF(CG81&gt;=CI$11,IF(CG81&lt;CJ$11,(((Volatilities_Resets!$AA70-Volatilities_Resets!$Y70)/50)*((Calculator!CG81-Calculator!CI$11)*10000)+Volatilities_Resets!$Y70)),IF(CG81&gt;=CI$10,IF(CG81&lt;CJ$10,(((Volatilities_Resets!$Y70-Volatilities_Resets!$W70)/50)*((Calculator!CG81-Calculator!CI$10)*10000)+Volatilities_Resets!$W70)),IF(CG81&gt;=CI$9,IF(CG81&lt;CJ$9,(((Volatilities_Resets!$W70-Volatilities_Resets!$U70)/50)*((Calculator!CG81-Calculator!CI$9)*10000)+Volatilities_Resets!$U70)),IF(CG81&gt;=CI$8,IF(CG81&lt;CJ$8,(((Volatilities_Resets!$U70-Volatilities_Resets!$S70)/50)*((Calculator!CG81-Calculator!CI$8)*10000)+Volatilities_Resets!$S70)),IF(CG81&gt;=CI$7,IF(CG81&lt;CJ$7,(((Volatilities_Resets!$S70-Volatilities_Resets!$Q70)/50)*((Calculator!CG81-Calculator!CI$7)*10000)+Volatilities_Resets!$Q70)),IF(CG81&gt;=CI$6,IF(CG81&lt;CJ$6,(((Volatilities_Resets!$Q70-Volatilities_Resets!$O70)/50)*((Calculator!CG81-Calculator!CI$6)*10000)+Volatilities_Resets!$O70)),IF(CG81&gt;=CI$5,IF(CG81&lt;CJ$5,(((Volatilities_Resets!$O70-Volatilities_Resets!$M70)/50)*((Calculator!CG81-Calculator!CI$5)*10000)+Volatilities_Resets!$M70)),IF(CG81&gt;=CI$4,IF(CG81&lt;CJ$4,(((Volatilities_Resets!$M70-Volatilities_Resets!$K70)/50)*((Calculator!CG81-Calculator!CI$4)*10000)+Volatilities_Resets!$K70)),IF(CG81&gt;=CI$3,IF(CG81&lt;CJ$3,(((Volatilities_Resets!$K70-Volatilities_Resets!$I70)/50)*((Calculator!CG81-Calculator!CI$3)*10000)+Volatilities_Resets!$I70)),IF(CG81&gt;=CI$2,IF(CG81&lt;CJ$2,(((Volatilities_Resets!$I70-Volatilities_Resets!$G70)/50)*((Calculator!CG81-Calculator!CI$2)*10000)+Volatilities_Resets!$G70)),"Well, something broke...")))))))))))/10000</f>
        <v>1.3650000000000001E-2</v>
      </c>
      <c r="CJ81" s="63">
        <f t="shared" ca="1" si="94"/>
        <v>8133.6054688384747</v>
      </c>
      <c r="CK81" s="63">
        <f t="shared" ca="1" si="95"/>
        <v>3.3046737118418802E-4</v>
      </c>
      <c r="CL81" s="63">
        <f t="shared" ca="1" si="48"/>
        <v>324171.5245161489</v>
      </c>
      <c r="CO81" s="63">
        <f t="shared" ca="1" si="96"/>
        <v>101.07584947337189</v>
      </c>
      <c r="CP81" s="63">
        <f ca="1">SUM($CO$15:CO81)</f>
        <v>4733.6136838680477</v>
      </c>
      <c r="CR81" s="52">
        <f ca="1">EXP(-AVERAGE(CH$15:CH81)*CE81)</f>
        <v>0.78916917535921671</v>
      </c>
      <c r="CT81"/>
      <c r="CU81"/>
      <c r="CV81"/>
      <c r="CW81"/>
      <c r="CX81"/>
      <c r="CY81"/>
      <c r="CZ81"/>
      <c r="DA81"/>
      <c r="DB81"/>
      <c r="DC81"/>
      <c r="DD81"/>
      <c r="DE81"/>
      <c r="DF81"/>
      <c r="DG81"/>
      <c r="DH81"/>
      <c r="DI81"/>
      <c r="DJ81"/>
      <c r="DK81"/>
      <c r="DL81"/>
    </row>
    <row r="82" spans="2:116" ht="15.75" customHeight="1" x14ac:dyDescent="0.2">
      <c r="B82" s="52">
        <v>6</v>
      </c>
      <c r="C82" s="52">
        <f t="shared" ca="1" si="52"/>
        <v>68</v>
      </c>
      <c r="D82" s="71">
        <f t="shared" ca="1" si="70"/>
        <v>47230</v>
      </c>
      <c r="E82" s="71">
        <f t="shared" ca="1" si="53"/>
        <v>47260</v>
      </c>
      <c r="F82" s="72">
        <f t="shared" ca="1" si="54"/>
        <v>30</v>
      </c>
      <c r="G82" s="73">
        <f ca="1">SUM($F$15:F82)/360</f>
        <v>5.7472222222222218</v>
      </c>
      <c r="H82" s="74">
        <f t="shared" si="56"/>
        <v>25000000</v>
      </c>
      <c r="I82" s="59">
        <f>IF('Cap Pricer'!$E$22=DataValidation!$C$2,'Cap Pricer'!$E$23,IF('Cap Pricer'!$E$22=DataValidation!$C$3,VLOOKUP($B82,'Cap Pricer'!$C$25:$E$31,3),""))</f>
        <v>0.02</v>
      </c>
      <c r="J82" s="57">
        <f>Volatilities_Resets!$E71*0.01</f>
        <v>3.7854600000000002E-2</v>
      </c>
      <c r="K82" s="61">
        <f>IF(I82=L$11,Volatilities_Resets!$AA71,IF(I82&gt;=K$11,IF(I82&lt;L$11,(((Volatilities_Resets!$AA71-Volatilities_Resets!$Y71)/50)*((Calculator!I82-Calculator!K$11)*10000)+Volatilities_Resets!$Y71)),IF(I82&gt;=K$10,IF(I82&lt;L$10,(((Volatilities_Resets!$Y71-Volatilities_Resets!$W71)/50)*((Calculator!I82-Calculator!K$10)*10000)+Volatilities_Resets!$W71)),IF(I82&gt;=K$9,IF(I82&lt;L$9,(((Volatilities_Resets!$W71-Volatilities_Resets!$U71)/50)*((Calculator!I82-Calculator!K$9)*10000)+Volatilities_Resets!$U71)),IF(I82&gt;=K$8,IF(I82&lt;L$8,(((Volatilities_Resets!$U71-Volatilities_Resets!$S71)/50)*((Calculator!I82-Calculator!K$8)*10000)+Volatilities_Resets!$S71)),IF(I82&gt;=K$7,IF(I82&lt;L$7,(((Volatilities_Resets!$S71-Volatilities_Resets!$Q71)/50)*((Calculator!I82-Calculator!K$7)*10000)+Volatilities_Resets!$Q71)),IF(I82&gt;=K$6,IF(I82&lt;L$6,(((Volatilities_Resets!$Q71-Volatilities_Resets!$O71)/50)*((Calculator!I82-Calculator!K$6)*10000)+Volatilities_Resets!$O71)),IF(I82&gt;=K$5,IF(I82&lt;L$5,(((Volatilities_Resets!$O71-Volatilities_Resets!$M71)/50)*((Calculator!I82-Calculator!K$5)*10000)+Volatilities_Resets!$M71)),IF(I82&gt;=K$4,IF(I82&lt;L$4,(((Volatilities_Resets!$M71-Volatilities_Resets!$K71)/50)*((Calculator!I82-Calculator!K$4)*10000)+Volatilities_Resets!$K71)),IF(I82&gt;=K$3,IF(I82&lt;L$3,(((Volatilities_Resets!$K71-Volatilities_Resets!$I71)/50)*((Calculator!I82-Calculator!K$3)*10000)+Volatilities_Resets!$I71)),IF(I82&gt;=K$2,IF(I82&lt;L$2,(((Volatilities_Resets!$I71-Volatilities_Resets!$G71)/50)*((Calculator!I82-Calculator!K$2)*10000)+Volatilities_Resets!$G71)),"Well, something broke...")))))))))))/10000</f>
        <v>1.1609999999999999E-2</v>
      </c>
      <c r="L82" s="47">
        <f t="shared" ca="1" si="71"/>
        <v>36450.667002772068</v>
      </c>
      <c r="M82" s="63">
        <f t="shared" ca="1" si="72"/>
        <v>1.4631395593524359E-3</v>
      </c>
      <c r="N82" s="63">
        <f t="shared" ca="1" si="55"/>
        <v>3167598.1573800566</v>
      </c>
      <c r="Q82" s="63">
        <f t="shared" ca="1" si="73"/>
        <v>100.55592978579278</v>
      </c>
      <c r="R82" s="63">
        <f ca="1">SUM($Q$15:Q82)</f>
        <v>4894.522142648465</v>
      </c>
      <c r="T82" s="52">
        <f ca="1">EXP(-AVERAGE(J$15:J82)*G82)</f>
        <v>0.78668730502031525</v>
      </c>
      <c r="U82" s="57"/>
      <c r="V82" s="52">
        <f t="shared" ca="1" si="74"/>
        <v>68</v>
      </c>
      <c r="W82" s="71">
        <f t="shared" ca="1" si="75"/>
        <v>47230</v>
      </c>
      <c r="X82" s="71">
        <f t="shared" ca="1" si="57"/>
        <v>47260</v>
      </c>
      <c r="Y82" s="72">
        <f t="shared" ca="1" si="58"/>
        <v>30</v>
      </c>
      <c r="Z82" s="73">
        <f ca="1">SUM(Y$15:Y82)/360</f>
        <v>5.7472222222222218</v>
      </c>
      <c r="AA82" s="74">
        <f t="shared" si="59"/>
        <v>25000000</v>
      </c>
      <c r="AB82" s="59">
        <f t="shared" si="76"/>
        <v>0.03</v>
      </c>
      <c r="AC82" s="57">
        <f>Volatilities_Resets!$E71*0.01</f>
        <v>3.7854600000000002E-2</v>
      </c>
      <c r="AD82" s="61">
        <f>IF(AB82=AE$11,Volatilities_Resets!$AA71,IF(AB82&gt;=AD$11,IF(AB82&lt;AE$11,(((Volatilities_Resets!$AA71-Volatilities_Resets!$Y71)/50)*((Calculator!AB82-Calculator!AD$11)*10000)+Volatilities_Resets!$Y71)),IF(AB82&gt;=AD$10,IF(AB82&lt;AE$10,(((Volatilities_Resets!$Y71-Volatilities_Resets!$W71)/50)*((Calculator!AB82-Calculator!AD$10)*10000)+Volatilities_Resets!$W71)),IF(AB82&gt;=AD$9,IF(AB82&lt;AE$9,(((Volatilities_Resets!$W71-Volatilities_Resets!$U71)/50)*((Calculator!AB82-Calculator!AD$9)*10000)+Volatilities_Resets!$U71)),IF(AB82&gt;=AD$8,IF(AB82&lt;AE$8,(((Volatilities_Resets!$U71-Volatilities_Resets!$S71)/50)*((Calculator!AB82-Calculator!AD$8)*10000)+Volatilities_Resets!$S71)),IF(AB82&gt;=AD$7,IF(AB82&lt;AE$7,(((Volatilities_Resets!$S71-Volatilities_Resets!$Q71)/50)*((Calculator!AB82-Calculator!AD$7)*10000)+Volatilities_Resets!$Q71)),IF(AB82&gt;=AD$6,IF(AB82&lt;AE$6,(((Volatilities_Resets!$Q71-Volatilities_Resets!$O71)/50)*((Calculator!AB82-Calculator!AD$6)*10000)+Volatilities_Resets!$O71)),IF(AB82&gt;=AD$5,IF(AB82&lt;AE$5,(((Volatilities_Resets!$O71-Volatilities_Resets!$M71)/50)*((Calculator!AB82-Calculator!AD$5)*10000)+Volatilities_Resets!$M71)),IF(AB82&gt;=AD$4,IF(AB82&lt;AE$4,(((Volatilities_Resets!$M71-Volatilities_Resets!$K71)/50)*((Calculator!AB82-Calculator!AD$4)*10000)+Volatilities_Resets!$K71)),IF(AB82&gt;=AD$3,IF(AB82&lt;AE$3,(((Volatilities_Resets!$K71-Volatilities_Resets!$I71)/50)*((Calculator!AB82-Calculator!AD$3)*10000)+Volatilities_Resets!$I71)),IF(AB82&gt;=AD$2,IF(AB82&lt;AE$2,(((Volatilities_Resets!$I71-Volatilities_Resets!$G71)/50)*((Calculator!AB82-Calculator!AD$2)*10000)+Volatilities_Resets!$G71)),"Well, something broke...")))))))))))/10000</f>
        <v>1.1705E-2</v>
      </c>
      <c r="AE82" s="63">
        <f t="shared" ca="1" si="77"/>
        <v>25497.955714433861</v>
      </c>
      <c r="AF82" s="63">
        <f t="shared" ca="1" si="78"/>
        <v>1.0259492417363163E-3</v>
      </c>
      <c r="AG82" s="63">
        <f t="shared" ref="AG82:AG98" ca="1" si="97">AG81+AE82</f>
        <v>2176021.9103569887</v>
      </c>
      <c r="AJ82" s="63">
        <f t="shared" ca="1" si="79"/>
        <v>118.61303721414409</v>
      </c>
      <c r="AK82" s="63">
        <f ca="1">SUM($AJ$15:AJ82)</f>
        <v>5965.3586099715967</v>
      </c>
      <c r="AM82" s="52">
        <f ca="1">EXP(-AVERAGE(AC$15:AC82)*Z82)</f>
        <v>0.78668730502031525</v>
      </c>
      <c r="AO82" s="52">
        <f t="shared" ca="1" si="80"/>
        <v>68</v>
      </c>
      <c r="AP82" s="71">
        <f t="shared" ca="1" si="81"/>
        <v>47230</v>
      </c>
      <c r="AQ82" s="71">
        <f t="shared" ca="1" si="60"/>
        <v>47260</v>
      </c>
      <c r="AR82" s="72">
        <f t="shared" ca="1" si="61"/>
        <v>30</v>
      </c>
      <c r="AS82" s="73">
        <f ca="1">SUM(AR$15:AR82)/360</f>
        <v>5.7472222222222218</v>
      </c>
      <c r="AT82" s="74">
        <f t="shared" si="62"/>
        <v>25000000</v>
      </c>
      <c r="AU82" s="59">
        <f t="shared" si="82"/>
        <v>0.04</v>
      </c>
      <c r="AV82" s="57">
        <f>Volatilities_Resets!$E71*0.01</f>
        <v>3.7854600000000002E-2</v>
      </c>
      <c r="AW82" s="61">
        <f>IF(AU82=AX$11,Volatilities_Resets!$AA71,IF(AU82&gt;=AW$11,IF(AU82&lt;AX$11,(((Volatilities_Resets!$AA71-Volatilities_Resets!$Y71)/50)*((Calculator!AU82-Calculator!AW$11)*10000)+Volatilities_Resets!$Y71)),IF(AU82&gt;=AW$10,IF(AU82&lt;AX$10,(((Volatilities_Resets!$Y71-Volatilities_Resets!$W71)/50)*((Calculator!AU82-Calculator!AW$10)*10000)+Volatilities_Resets!$W71)),IF(AU82&gt;=AW$9,IF(AU82&lt;AX$9,(((Volatilities_Resets!$W71-Volatilities_Resets!$U71)/50)*((Calculator!AU82-Calculator!AW$9)*10000)+Volatilities_Resets!$U71)),IF(AU82&gt;=AW$8,IF(AU82&lt;AX$8,(((Volatilities_Resets!$U71-Volatilities_Resets!$S71)/50)*((Calculator!AU82-Calculator!AW$8)*10000)+Volatilities_Resets!$S71)),IF(AU82&gt;=AW$7,IF(AU82&lt;AX$7,(((Volatilities_Resets!$S71-Volatilities_Resets!$Q71)/50)*((Calculator!AU82-Calculator!AW$7)*10000)+Volatilities_Resets!$Q71)),IF(AU82&gt;=AW$6,IF(AU82&lt;AX$6,(((Volatilities_Resets!$Q71-Volatilities_Resets!$O71)/50)*((Calculator!AU82-Calculator!AW$6)*10000)+Volatilities_Resets!$O71)),IF(AU82&gt;=AW$5,IF(AU82&lt;AX$5,(((Volatilities_Resets!$O71-Volatilities_Resets!$M71)/50)*((Calculator!AU82-Calculator!AW$5)*10000)+Volatilities_Resets!$M71)),IF(AU82&gt;=AW$4,IF(AU82&lt;AX$4,(((Volatilities_Resets!$M71-Volatilities_Resets!$K71)/50)*((Calculator!AU82-Calculator!AW$4)*10000)+Volatilities_Resets!$K71)),IF(AU82&gt;=AW$3,IF(AU82&lt;AX$3,(((Volatilities_Resets!$K71-Volatilities_Resets!$I71)/50)*((Calculator!AU82-Calculator!AW$3)*10000)+Volatilities_Resets!$I71)),IF(AU82&gt;=AW$2,IF(AU82&lt;AX$2,(((Volatilities_Resets!$I71-Volatilities_Resets!$G71)/50)*((Calculator!AU82-Calculator!AW$2)*10000)+Volatilities_Resets!$G71)),"Well, something broke...")))))))))))/10000</f>
        <v>1.209E-2</v>
      </c>
      <c r="AX82" s="63">
        <f t="shared" ca="1" si="83"/>
        <v>17244.554250558915</v>
      </c>
      <c r="AY82" s="63">
        <f t="shared" ca="1" si="84"/>
        <v>6.9603504800903068E-4</v>
      </c>
      <c r="AZ82" s="63">
        <f t="shared" ref="AZ82:AZ98" ca="1" si="98">AZ81+AX82</f>
        <v>1322132.7707876528</v>
      </c>
      <c r="BC82" s="63">
        <f t="shared" ca="1" si="63"/>
        <v>122.97649329893824</v>
      </c>
      <c r="BD82" s="63">
        <f ca="1">SUM($BC$15:BC82)</f>
        <v>6439.528240029902</v>
      </c>
      <c r="BF82" s="52">
        <f ca="1">EXP(-AVERAGE(AV$15:AV82)*AS82)</f>
        <v>0.78668730502031525</v>
      </c>
      <c r="BH82" s="52">
        <f t="shared" ca="1" si="85"/>
        <v>68</v>
      </c>
      <c r="BI82" s="71">
        <f t="shared" ca="1" si="86"/>
        <v>47230</v>
      </c>
      <c r="BJ82" s="71">
        <f t="shared" ca="1" si="64"/>
        <v>47260</v>
      </c>
      <c r="BK82" s="72">
        <f t="shared" ca="1" si="65"/>
        <v>30</v>
      </c>
      <c r="BL82" s="73">
        <f ca="1">SUM(BK$15:BK82)/360</f>
        <v>5.7472222222222218</v>
      </c>
      <c r="BM82" s="74">
        <f t="shared" si="66"/>
        <v>25000000</v>
      </c>
      <c r="BN82" s="59">
        <f t="shared" si="87"/>
        <v>0.05</v>
      </c>
      <c r="BO82" s="57">
        <f>Volatilities_Resets!$E71*0.01</f>
        <v>3.7854600000000002E-2</v>
      </c>
      <c r="BP82" s="61">
        <f>IF(BN82=BQ$11,Volatilities_Resets!$AA71,IF(BN82&gt;=BP$11,IF(BN82&lt;BQ$11,(((Volatilities_Resets!$AA71-Volatilities_Resets!$Y71)/50)*((Calculator!BN82-Calculator!BP$11)*10000)+Volatilities_Resets!$Y71)),IF(BN82&gt;=BP$10,IF(BN82&lt;BQ$10,(((Volatilities_Resets!$Y71-Volatilities_Resets!$W71)/50)*((Calculator!BN82-Calculator!BP$10)*10000)+Volatilities_Resets!$W71)),IF(BN82&gt;=BP$9,IF(BN82&lt;BQ$9,(((Volatilities_Resets!$W71-Volatilities_Resets!$U71)/50)*((Calculator!BN82-Calculator!BP$9)*10000)+Volatilities_Resets!$U71)),IF(BN82&gt;=BP$8,IF(BN82&lt;BQ$8,(((Volatilities_Resets!$U71-Volatilities_Resets!$S71)/50)*((Calculator!BN82-Calculator!BP$8)*10000)+Volatilities_Resets!$S71)),IF(BN82&gt;=BP$7,IF(BN82&lt;BQ$7,(((Volatilities_Resets!$S71-Volatilities_Resets!$Q71)/50)*((Calculator!BN82-Calculator!BP$7)*10000)+Volatilities_Resets!$Q71)),IF(BN82&gt;=BP$6,IF(BN82&lt;BQ$6,(((Volatilities_Resets!$Q71-Volatilities_Resets!$O71)/50)*((Calculator!BN82-Calculator!BP$6)*10000)+Volatilities_Resets!$O71)),IF(BN82&gt;=BP$5,IF(BN82&lt;BQ$5,(((Volatilities_Resets!$O71-Volatilities_Resets!$M71)/50)*((Calculator!BN82-Calculator!BP$5)*10000)+Volatilities_Resets!$M71)),IF(BN82&gt;=BP$4,IF(BN82&lt;BQ$4,(((Volatilities_Resets!$M71-Volatilities_Resets!$K71)/50)*((Calculator!BN82-Calculator!BP$4)*10000)+Volatilities_Resets!$K71)),IF(BN82&gt;=BP$3,IF(BN82&lt;BQ$3,(((Volatilities_Resets!$K71-Volatilities_Resets!$I71)/50)*((Calculator!BN82-Calculator!BP$3)*10000)+Volatilities_Resets!$I71)),IF(BN82&gt;=BP$2,IF(BN82&lt;BQ$2,(((Volatilities_Resets!$I71-Volatilities_Resets!$G71)/50)*((Calculator!BN82-Calculator!BP$2)*10000)+Volatilities_Resets!$G71)),"Well, something broke...")))))))))))/10000</f>
        <v>1.2761E-2</v>
      </c>
      <c r="BQ82" s="63">
        <f t="shared" ca="1" si="88"/>
        <v>11605.737471131182</v>
      </c>
      <c r="BR82" s="63">
        <f t="shared" ca="1" si="89"/>
        <v>4.7002779699730315E-4</v>
      </c>
      <c r="BS82" s="63">
        <f t="shared" ref="BS82:BS98" ca="1" si="99">BS81+BQ82</f>
        <v>675765.54519358079</v>
      </c>
      <c r="BV82" s="63">
        <f t="shared" ca="1" si="90"/>
        <v>114.03618867362695</v>
      </c>
      <c r="BW82" s="63">
        <f ca="1">SUM($BV$15:BV82)</f>
        <v>6215.2433491438542</v>
      </c>
      <c r="BY82" s="52">
        <f ca="1">EXP(-AVERAGE(BO$15:BO82)*BL82)</f>
        <v>0.78668730502031525</v>
      </c>
      <c r="CA82" s="52">
        <f t="shared" ca="1" si="91"/>
        <v>68</v>
      </c>
      <c r="CB82" s="71">
        <f t="shared" ca="1" si="92"/>
        <v>47230</v>
      </c>
      <c r="CC82" s="71">
        <f t="shared" ca="1" si="67"/>
        <v>47260</v>
      </c>
      <c r="CD82" s="72">
        <f t="shared" ca="1" si="68"/>
        <v>30</v>
      </c>
      <c r="CE82" s="73">
        <f ca="1">SUM(CD$15:CD82)/360</f>
        <v>5.7472222222222218</v>
      </c>
      <c r="CF82" s="74">
        <f t="shared" si="69"/>
        <v>25000000</v>
      </c>
      <c r="CG82" s="59">
        <f t="shared" si="93"/>
        <v>0.06</v>
      </c>
      <c r="CH82" s="57">
        <f>Volatilities_Resets!$E71*0.01</f>
        <v>3.7854600000000002E-2</v>
      </c>
      <c r="CI82" s="61">
        <f>IF(CG82=CJ$11,Volatilities_Resets!$AA71,IF(CG82&gt;=CI$11,IF(CG82&lt;CJ$11,(((Volatilities_Resets!$AA71-Volatilities_Resets!$Y71)/50)*((Calculator!CG82-Calculator!CI$11)*10000)+Volatilities_Resets!$Y71)),IF(CG82&gt;=CI$10,IF(CG82&lt;CJ$10,(((Volatilities_Resets!$Y71-Volatilities_Resets!$W71)/50)*((Calculator!CG82-Calculator!CI$10)*10000)+Volatilities_Resets!$W71)),IF(CG82&gt;=CI$9,IF(CG82&lt;CJ$9,(((Volatilities_Resets!$W71-Volatilities_Resets!$U71)/50)*((Calculator!CG82-Calculator!CI$9)*10000)+Volatilities_Resets!$U71)),IF(CG82&gt;=CI$8,IF(CG82&lt;CJ$8,(((Volatilities_Resets!$U71-Volatilities_Resets!$S71)/50)*((Calculator!CG82-Calculator!CI$8)*10000)+Volatilities_Resets!$S71)),IF(CG82&gt;=CI$7,IF(CG82&lt;CJ$7,(((Volatilities_Resets!$S71-Volatilities_Resets!$Q71)/50)*((Calculator!CG82-Calculator!CI$7)*10000)+Volatilities_Resets!$Q71)),IF(CG82&gt;=CI$6,IF(CG82&lt;CJ$6,(((Volatilities_Resets!$Q71-Volatilities_Resets!$O71)/50)*((Calculator!CG82-Calculator!CI$6)*10000)+Volatilities_Resets!$O71)),IF(CG82&gt;=CI$5,IF(CG82&lt;CJ$5,(((Volatilities_Resets!$O71-Volatilities_Resets!$M71)/50)*((Calculator!CG82-Calculator!CI$5)*10000)+Volatilities_Resets!$M71)),IF(CG82&gt;=CI$4,IF(CG82&lt;CJ$4,(((Volatilities_Resets!$M71-Volatilities_Resets!$K71)/50)*((Calculator!CG82-Calculator!CI$4)*10000)+Volatilities_Resets!$K71)),IF(CG82&gt;=CI$3,IF(CG82&lt;CJ$3,(((Volatilities_Resets!$K71-Volatilities_Resets!$I71)/50)*((Calculator!CG82-Calculator!CI$3)*10000)+Volatilities_Resets!$I71)),IF(CG82&gt;=CI$2,IF(CG82&lt;CJ$2,(((Volatilities_Resets!$I71-Volatilities_Resets!$G71)/50)*((Calculator!CG82-Calculator!CI$2)*10000)+Volatilities_Resets!$G71)),"Well, something broke...")))))))))))/10000</f>
        <v>1.3650000000000001E-2</v>
      </c>
      <c r="CJ82" s="63">
        <f t="shared" ca="1" si="94"/>
        <v>7969.2791530435006</v>
      </c>
      <c r="CK82" s="63">
        <f t="shared" ca="1" si="95"/>
        <v>3.2376615991762511E-4</v>
      </c>
      <c r="CL82" s="63">
        <f t="shared" ref="CL82:CL98" ca="1" si="100">CL81+CJ82</f>
        <v>332140.80366919242</v>
      </c>
      <c r="CO82" s="63">
        <f t="shared" ca="1" si="96"/>
        <v>98.23745519695062</v>
      </c>
      <c r="CP82" s="63">
        <f ca="1">SUM($CO$15:CO82)</f>
        <v>4831.8511390649983</v>
      </c>
      <c r="CR82" s="52">
        <f ca="1">EXP(-AVERAGE(CH$15:CH82)*CE82)</f>
        <v>0.78668730502031525</v>
      </c>
      <c r="CT82"/>
      <c r="CU82"/>
      <c r="CV82"/>
      <c r="CW82"/>
      <c r="CX82"/>
      <c r="CY82"/>
      <c r="CZ82"/>
      <c r="DA82"/>
      <c r="DB82"/>
      <c r="DC82"/>
      <c r="DD82"/>
      <c r="DE82"/>
      <c r="DF82"/>
      <c r="DG82"/>
      <c r="DH82"/>
      <c r="DI82"/>
      <c r="DJ82"/>
      <c r="DK82"/>
      <c r="DL82"/>
    </row>
    <row r="83" spans="2:116" ht="15.75" customHeight="1" x14ac:dyDescent="0.2">
      <c r="B83" s="52">
        <v>6</v>
      </c>
      <c r="C83" s="52">
        <f t="shared" ca="1" si="52"/>
        <v>69</v>
      </c>
      <c r="D83" s="71">
        <f t="shared" ca="1" si="70"/>
        <v>47260</v>
      </c>
      <c r="E83" s="71">
        <f t="shared" ca="1" si="53"/>
        <v>47291</v>
      </c>
      <c r="F83" s="72">
        <f t="shared" ca="1" si="54"/>
        <v>31</v>
      </c>
      <c r="G83" s="73">
        <f ca="1">SUM($F$15:F83)/360</f>
        <v>5.833333333333333</v>
      </c>
      <c r="H83" s="74">
        <f t="shared" si="56"/>
        <v>25000000</v>
      </c>
      <c r="I83" s="59">
        <f>IF('Cap Pricer'!$E$22=DataValidation!$C$2,'Cap Pricer'!$E$23,IF('Cap Pricer'!$E$22=DataValidation!$C$3,VLOOKUP($B83,'Cap Pricer'!$C$25:$E$31,3),""))</f>
        <v>0.02</v>
      </c>
      <c r="J83" s="57">
        <f>Volatilities_Resets!$E72*0.01</f>
        <v>3.7858599999999999E-2</v>
      </c>
      <c r="K83" s="61">
        <f>IF(I83=L$11,Volatilities_Resets!$AA72,IF(I83&gt;=K$11,IF(I83&lt;L$11,(((Volatilities_Resets!$AA72-Volatilities_Resets!$Y72)/50)*((Calculator!I83-Calculator!K$11)*10000)+Volatilities_Resets!$Y72)),IF(I83&gt;=K$10,IF(I83&lt;L$10,(((Volatilities_Resets!$Y72-Volatilities_Resets!$W72)/50)*((Calculator!I83-Calculator!K$10)*10000)+Volatilities_Resets!$W72)),IF(I83&gt;=K$9,IF(I83&lt;L$9,(((Volatilities_Resets!$W72-Volatilities_Resets!$U72)/50)*((Calculator!I83-Calculator!K$9)*10000)+Volatilities_Resets!$U72)),IF(I83&gt;=K$8,IF(I83&lt;L$8,(((Volatilities_Resets!$U72-Volatilities_Resets!$S72)/50)*((Calculator!I83-Calculator!K$8)*10000)+Volatilities_Resets!$S72)),IF(I83&gt;=K$7,IF(I83&lt;L$7,(((Volatilities_Resets!$S72-Volatilities_Resets!$Q72)/50)*((Calculator!I83-Calculator!K$7)*10000)+Volatilities_Resets!$Q72)),IF(I83&gt;=K$6,IF(I83&lt;L$6,(((Volatilities_Resets!$Q72-Volatilities_Resets!$O72)/50)*((Calculator!I83-Calculator!K$6)*10000)+Volatilities_Resets!$O72)),IF(I83&gt;=K$5,IF(I83&lt;L$5,(((Volatilities_Resets!$O72-Volatilities_Resets!$M72)/50)*((Calculator!I83-Calculator!K$5)*10000)+Volatilities_Resets!$M72)),IF(I83&gt;=K$4,IF(I83&lt;L$4,(((Volatilities_Resets!$M72-Volatilities_Resets!$K72)/50)*((Calculator!I83-Calculator!K$4)*10000)+Volatilities_Resets!$K72)),IF(I83&gt;=K$3,IF(I83&lt;L$3,(((Volatilities_Resets!$K72-Volatilities_Resets!$I72)/50)*((Calculator!I83-Calculator!K$3)*10000)+Volatilities_Resets!$I72)),IF(I83&gt;=K$2,IF(I83&lt;L$2,(((Volatilities_Resets!$I72-Volatilities_Resets!$G72)/50)*((Calculator!I83-Calculator!K$2)*10000)+Volatilities_Resets!$G72)),"Well, something broke...")))))))))))/10000</f>
        <v>1.1611E-2</v>
      </c>
      <c r="L83" s="47">
        <f t="shared" ca="1" si="71"/>
        <v>37663.232749751769</v>
      </c>
      <c r="M83" s="63">
        <f t="shared" ca="1" si="72"/>
        <v>1.5118503997832889E-3</v>
      </c>
      <c r="N83" s="63">
        <f t="shared" ca="1" si="55"/>
        <v>3205261.3901298083</v>
      </c>
      <c r="Q83" s="63">
        <f t="shared" ca="1" si="73"/>
        <v>104.30959698485907</v>
      </c>
      <c r="R83" s="63">
        <f ca="1">SUM($Q$15:Q83)</f>
        <v>4998.8317396333241</v>
      </c>
      <c r="T83" s="52">
        <f ca="1">EXP(-AVERAGE(J$15:J83)*G83)</f>
        <v>0.78412205798746915</v>
      </c>
      <c r="U83" s="57"/>
      <c r="V83" s="52">
        <f t="shared" ca="1" si="74"/>
        <v>69</v>
      </c>
      <c r="W83" s="71">
        <f t="shared" ca="1" si="75"/>
        <v>47260</v>
      </c>
      <c r="X83" s="71">
        <f t="shared" ca="1" si="57"/>
        <v>47291</v>
      </c>
      <c r="Y83" s="72">
        <f t="shared" ca="1" si="58"/>
        <v>31</v>
      </c>
      <c r="Z83" s="73">
        <f ca="1">SUM(Y$15:Y83)/360</f>
        <v>5.833333333333333</v>
      </c>
      <c r="AA83" s="74">
        <f t="shared" si="59"/>
        <v>25000000</v>
      </c>
      <c r="AB83" s="59">
        <f t="shared" si="76"/>
        <v>0.03</v>
      </c>
      <c r="AC83" s="57">
        <f>Volatilities_Resets!$E72*0.01</f>
        <v>3.7858599999999999E-2</v>
      </c>
      <c r="AD83" s="61">
        <f>IF(AB83=AE$11,Volatilities_Resets!$AA72,IF(AB83&gt;=AD$11,IF(AB83&lt;AE$11,(((Volatilities_Resets!$AA72-Volatilities_Resets!$Y72)/50)*((Calculator!AB83-Calculator!AD$11)*10000)+Volatilities_Resets!$Y72)),IF(AB83&gt;=AD$10,IF(AB83&lt;AE$10,(((Volatilities_Resets!$Y72-Volatilities_Resets!$W72)/50)*((Calculator!AB83-Calculator!AD$10)*10000)+Volatilities_Resets!$W72)),IF(AB83&gt;=AD$9,IF(AB83&lt;AE$9,(((Volatilities_Resets!$W72-Volatilities_Resets!$U72)/50)*((Calculator!AB83-Calculator!AD$9)*10000)+Volatilities_Resets!$U72)),IF(AB83&gt;=AD$8,IF(AB83&lt;AE$8,(((Volatilities_Resets!$U72-Volatilities_Resets!$S72)/50)*((Calculator!AB83-Calculator!AD$8)*10000)+Volatilities_Resets!$S72)),IF(AB83&gt;=AD$7,IF(AB83&lt;AE$7,(((Volatilities_Resets!$S72-Volatilities_Resets!$Q72)/50)*((Calculator!AB83-Calculator!AD$7)*10000)+Volatilities_Resets!$Q72)),IF(AB83&gt;=AD$6,IF(AB83&lt;AE$6,(((Volatilities_Resets!$Q72-Volatilities_Resets!$O72)/50)*((Calculator!AB83-Calculator!AD$6)*10000)+Volatilities_Resets!$O72)),IF(AB83&gt;=AD$5,IF(AB83&lt;AE$5,(((Volatilities_Resets!$O72-Volatilities_Resets!$M72)/50)*((Calculator!AB83-Calculator!AD$5)*10000)+Volatilities_Resets!$M72)),IF(AB83&gt;=AD$4,IF(AB83&lt;AE$4,(((Volatilities_Resets!$M72-Volatilities_Resets!$K72)/50)*((Calculator!AB83-Calculator!AD$4)*10000)+Volatilities_Resets!$K72)),IF(AB83&gt;=AD$3,IF(AB83&lt;AE$3,(((Volatilities_Resets!$K72-Volatilities_Resets!$I72)/50)*((Calculator!AB83-Calculator!AD$3)*10000)+Volatilities_Resets!$I72)),IF(AB83&gt;=AD$2,IF(AB83&lt;AE$2,(((Volatilities_Resets!$I72-Volatilities_Resets!$G72)/50)*((Calculator!AB83-Calculator!AD$2)*10000)+Volatilities_Resets!$G72)),"Well, something broke...")))))))))))/10000</f>
        <v>1.1705E-2</v>
      </c>
      <c r="AE83" s="63">
        <f t="shared" ca="1" si="77"/>
        <v>26401.749251917005</v>
      </c>
      <c r="AF83" s="63">
        <f t="shared" ca="1" si="78"/>
        <v>1.0623314031408544E-3</v>
      </c>
      <c r="AG83" s="63">
        <f t="shared" ca="1" si="97"/>
        <v>2202423.6596089057</v>
      </c>
      <c r="AJ83" s="63">
        <f t="shared" ca="1" si="79"/>
        <v>122.74319450577599</v>
      </c>
      <c r="AK83" s="63">
        <f ca="1">SUM($AJ$15:AJ83)</f>
        <v>6088.1018044773728</v>
      </c>
      <c r="AM83" s="52">
        <f ca="1">EXP(-AVERAGE(AC$15:AC83)*Z83)</f>
        <v>0.78412205798746915</v>
      </c>
      <c r="AO83" s="52">
        <f t="shared" ca="1" si="80"/>
        <v>69</v>
      </c>
      <c r="AP83" s="71">
        <f t="shared" ca="1" si="81"/>
        <v>47260</v>
      </c>
      <c r="AQ83" s="71">
        <f t="shared" ca="1" si="60"/>
        <v>47291</v>
      </c>
      <c r="AR83" s="72">
        <f t="shared" ca="1" si="61"/>
        <v>31</v>
      </c>
      <c r="AS83" s="73">
        <f ca="1">SUM(AR$15:AR83)/360</f>
        <v>5.833333333333333</v>
      </c>
      <c r="AT83" s="74">
        <f t="shared" si="62"/>
        <v>25000000</v>
      </c>
      <c r="AU83" s="59">
        <f t="shared" si="82"/>
        <v>0.04</v>
      </c>
      <c r="AV83" s="57">
        <f>Volatilities_Resets!$E72*0.01</f>
        <v>3.7858599999999999E-2</v>
      </c>
      <c r="AW83" s="61">
        <f>IF(AU83=AX$11,Volatilities_Resets!$AA72,IF(AU83&gt;=AW$11,IF(AU83&lt;AX$11,(((Volatilities_Resets!$AA72-Volatilities_Resets!$Y72)/50)*((Calculator!AU83-Calculator!AW$11)*10000)+Volatilities_Resets!$Y72)),IF(AU83&gt;=AW$10,IF(AU83&lt;AX$10,(((Volatilities_Resets!$Y72-Volatilities_Resets!$W72)/50)*((Calculator!AU83-Calculator!AW$10)*10000)+Volatilities_Resets!$W72)),IF(AU83&gt;=AW$9,IF(AU83&lt;AX$9,(((Volatilities_Resets!$W72-Volatilities_Resets!$U72)/50)*((Calculator!AU83-Calculator!AW$9)*10000)+Volatilities_Resets!$U72)),IF(AU83&gt;=AW$8,IF(AU83&lt;AX$8,(((Volatilities_Resets!$U72-Volatilities_Resets!$S72)/50)*((Calculator!AU83-Calculator!AW$8)*10000)+Volatilities_Resets!$S72)),IF(AU83&gt;=AW$7,IF(AU83&lt;AX$7,(((Volatilities_Resets!$S72-Volatilities_Resets!$Q72)/50)*((Calculator!AU83-Calculator!AW$7)*10000)+Volatilities_Resets!$Q72)),IF(AU83&gt;=AW$6,IF(AU83&lt;AX$6,(((Volatilities_Resets!$Q72-Volatilities_Resets!$O72)/50)*((Calculator!AU83-Calculator!AW$6)*10000)+Volatilities_Resets!$O72)),IF(AU83&gt;=AW$5,IF(AU83&lt;AX$5,(((Volatilities_Resets!$O72-Volatilities_Resets!$M72)/50)*((Calculator!AU83-Calculator!AW$5)*10000)+Volatilities_Resets!$M72)),IF(AU83&gt;=AW$4,IF(AU83&lt;AX$4,(((Volatilities_Resets!$M72-Volatilities_Resets!$K72)/50)*((Calculator!AU83-Calculator!AW$4)*10000)+Volatilities_Resets!$K72)),IF(AU83&gt;=AW$3,IF(AU83&lt;AX$3,(((Volatilities_Resets!$K72-Volatilities_Resets!$I72)/50)*((Calculator!AU83-Calculator!AW$3)*10000)+Volatilities_Resets!$I72)),IF(AU83&gt;=AW$2,IF(AU83&lt;AX$2,(((Volatilities_Resets!$I72-Volatilities_Resets!$G72)/50)*((Calculator!AU83-Calculator!AW$2)*10000)+Volatilities_Resets!$G72)),"Well, something broke...")))))))))))/10000</f>
        <v>1.209E-2</v>
      </c>
      <c r="AX83" s="63">
        <f t="shared" ca="1" si="83"/>
        <v>17909.730461814434</v>
      </c>
      <c r="AY83" s="63">
        <f t="shared" ca="1" si="84"/>
        <v>7.2287784943893957E-4</v>
      </c>
      <c r="AZ83" s="63">
        <f t="shared" ca="1" si="98"/>
        <v>1340042.5012494673</v>
      </c>
      <c r="BC83" s="63">
        <f t="shared" ca="1" si="63"/>
        <v>127.19696667162853</v>
      </c>
      <c r="BD83" s="63">
        <f ca="1">SUM($BC$15:BC83)</f>
        <v>6566.7252067015306</v>
      </c>
      <c r="BF83" s="52">
        <f ca="1">EXP(-AVERAGE(AV$15:AV83)*AS83)</f>
        <v>0.78412205798746915</v>
      </c>
      <c r="BH83" s="52">
        <f t="shared" ca="1" si="85"/>
        <v>69</v>
      </c>
      <c r="BI83" s="71">
        <f t="shared" ca="1" si="86"/>
        <v>47260</v>
      </c>
      <c r="BJ83" s="71">
        <f t="shared" ca="1" si="64"/>
        <v>47291</v>
      </c>
      <c r="BK83" s="72">
        <f t="shared" ca="1" si="65"/>
        <v>31</v>
      </c>
      <c r="BL83" s="73">
        <f ca="1">SUM(BK$15:BK83)/360</f>
        <v>5.833333333333333</v>
      </c>
      <c r="BM83" s="74">
        <f t="shared" si="66"/>
        <v>25000000</v>
      </c>
      <c r="BN83" s="59">
        <f t="shared" si="87"/>
        <v>0.05</v>
      </c>
      <c r="BO83" s="57">
        <f>Volatilities_Resets!$E72*0.01</f>
        <v>3.7858599999999999E-2</v>
      </c>
      <c r="BP83" s="61">
        <f>IF(BN83=BQ$11,Volatilities_Resets!$AA72,IF(BN83&gt;=BP$11,IF(BN83&lt;BQ$11,(((Volatilities_Resets!$AA72-Volatilities_Resets!$Y72)/50)*((Calculator!BN83-Calculator!BP$11)*10000)+Volatilities_Resets!$Y72)),IF(BN83&gt;=BP$10,IF(BN83&lt;BQ$10,(((Volatilities_Resets!$Y72-Volatilities_Resets!$W72)/50)*((Calculator!BN83-Calculator!BP$10)*10000)+Volatilities_Resets!$W72)),IF(BN83&gt;=BP$9,IF(BN83&lt;BQ$9,(((Volatilities_Resets!$W72-Volatilities_Resets!$U72)/50)*((Calculator!BN83-Calculator!BP$9)*10000)+Volatilities_Resets!$U72)),IF(BN83&gt;=BP$8,IF(BN83&lt;BQ$8,(((Volatilities_Resets!$U72-Volatilities_Resets!$S72)/50)*((Calculator!BN83-Calculator!BP$8)*10000)+Volatilities_Resets!$S72)),IF(BN83&gt;=BP$7,IF(BN83&lt;BQ$7,(((Volatilities_Resets!$S72-Volatilities_Resets!$Q72)/50)*((Calculator!BN83-Calculator!BP$7)*10000)+Volatilities_Resets!$Q72)),IF(BN83&gt;=BP$6,IF(BN83&lt;BQ$6,(((Volatilities_Resets!$Q72-Volatilities_Resets!$O72)/50)*((Calculator!BN83-Calculator!BP$6)*10000)+Volatilities_Resets!$O72)),IF(BN83&gt;=BP$5,IF(BN83&lt;BQ$5,(((Volatilities_Resets!$O72-Volatilities_Resets!$M72)/50)*((Calculator!BN83-Calculator!BP$5)*10000)+Volatilities_Resets!$M72)),IF(BN83&gt;=BP$4,IF(BN83&lt;BQ$4,(((Volatilities_Resets!$M72-Volatilities_Resets!$K72)/50)*((Calculator!BN83-Calculator!BP$4)*10000)+Volatilities_Resets!$K72)),IF(BN83&gt;=BP$3,IF(BN83&lt;BQ$3,(((Volatilities_Resets!$K72-Volatilities_Resets!$I72)/50)*((Calculator!BN83-Calculator!BP$3)*10000)+Volatilities_Resets!$I72)),IF(BN83&gt;=BP$2,IF(BN83&lt;BQ$2,(((Volatilities_Resets!$I72-Volatilities_Resets!$G72)/50)*((Calculator!BN83-Calculator!BP$2)*10000)+Volatilities_Resets!$G72)),"Well, something broke...")))))))))))/10000</f>
        <v>1.2761E-2</v>
      </c>
      <c r="BQ83" s="63">
        <f t="shared" ca="1" si="88"/>
        <v>12098.027513531561</v>
      </c>
      <c r="BR83" s="63">
        <f t="shared" ca="1" si="89"/>
        <v>4.899449658628467E-4</v>
      </c>
      <c r="BS83" s="63">
        <f t="shared" ca="1" si="99"/>
        <v>687863.57270711241</v>
      </c>
      <c r="BV83" s="63">
        <f t="shared" ca="1" si="90"/>
        <v>118.08614182500001</v>
      </c>
      <c r="BW83" s="63">
        <f ca="1">SUM($BV$15:BV83)</f>
        <v>6333.3294909688539</v>
      </c>
      <c r="BY83" s="52">
        <f ca="1">EXP(-AVERAGE(BO$15:BO83)*BL83)</f>
        <v>0.78412205798746915</v>
      </c>
      <c r="CA83" s="52">
        <f t="shared" ca="1" si="91"/>
        <v>69</v>
      </c>
      <c r="CB83" s="71">
        <f t="shared" ca="1" si="92"/>
        <v>47260</v>
      </c>
      <c r="CC83" s="71">
        <f t="shared" ca="1" si="67"/>
        <v>47291</v>
      </c>
      <c r="CD83" s="72">
        <f t="shared" ca="1" si="68"/>
        <v>31</v>
      </c>
      <c r="CE83" s="73">
        <f ca="1">SUM(CD$15:CD83)/360</f>
        <v>5.833333333333333</v>
      </c>
      <c r="CF83" s="74">
        <f t="shared" si="69"/>
        <v>25000000</v>
      </c>
      <c r="CG83" s="59">
        <f t="shared" si="93"/>
        <v>0.06</v>
      </c>
      <c r="CH83" s="57">
        <f>Volatilities_Resets!$E72*0.01</f>
        <v>3.7858599999999999E-2</v>
      </c>
      <c r="CI83" s="61">
        <f>IF(CG83=CJ$11,Volatilities_Resets!$AA72,IF(CG83&gt;=CI$11,IF(CG83&lt;CJ$11,(((Volatilities_Resets!$AA72-Volatilities_Resets!$Y72)/50)*((Calculator!CG83-Calculator!CI$11)*10000)+Volatilities_Resets!$Y72)),IF(CG83&gt;=CI$10,IF(CG83&lt;CJ$10,(((Volatilities_Resets!$Y72-Volatilities_Resets!$W72)/50)*((Calculator!CG83-Calculator!CI$10)*10000)+Volatilities_Resets!$W72)),IF(CG83&gt;=CI$9,IF(CG83&lt;CJ$9,(((Volatilities_Resets!$W72-Volatilities_Resets!$U72)/50)*((Calculator!CG83-Calculator!CI$9)*10000)+Volatilities_Resets!$U72)),IF(CG83&gt;=CI$8,IF(CG83&lt;CJ$8,(((Volatilities_Resets!$U72-Volatilities_Resets!$S72)/50)*((Calculator!CG83-Calculator!CI$8)*10000)+Volatilities_Resets!$S72)),IF(CG83&gt;=CI$7,IF(CG83&lt;CJ$7,(((Volatilities_Resets!$S72-Volatilities_Resets!$Q72)/50)*((Calculator!CG83-Calculator!CI$7)*10000)+Volatilities_Resets!$Q72)),IF(CG83&gt;=CI$6,IF(CG83&lt;CJ$6,(((Volatilities_Resets!$Q72-Volatilities_Resets!$O72)/50)*((Calculator!CG83-Calculator!CI$6)*10000)+Volatilities_Resets!$O72)),IF(CG83&gt;=CI$5,IF(CG83&lt;CJ$5,(((Volatilities_Resets!$O72-Volatilities_Resets!$M72)/50)*((Calculator!CG83-Calculator!CI$5)*10000)+Volatilities_Resets!$M72)),IF(CG83&gt;=CI$4,IF(CG83&lt;CJ$4,(((Volatilities_Resets!$M72-Volatilities_Resets!$K72)/50)*((Calculator!CG83-Calculator!CI$4)*10000)+Volatilities_Resets!$K72)),IF(CG83&gt;=CI$3,IF(CG83&lt;CJ$3,(((Volatilities_Resets!$K72-Volatilities_Resets!$I72)/50)*((Calculator!CG83-Calculator!CI$3)*10000)+Volatilities_Resets!$I72)),IF(CG83&gt;=CI$2,IF(CG83&lt;CJ$2,(((Volatilities_Resets!$I72-Volatilities_Resets!$G72)/50)*((Calculator!CG83-Calculator!CI$2)*10000)+Volatilities_Resets!$G72)),"Well, something broke...")))))))))))/10000</f>
        <v>1.3650000000000001E-2</v>
      </c>
      <c r="CJ83" s="63">
        <f t="shared" ca="1" si="94"/>
        <v>8340.8010831090032</v>
      </c>
      <c r="CK83" s="63">
        <f t="shared" ca="1" si="95"/>
        <v>3.3883294716568368E-4</v>
      </c>
      <c r="CL83" s="63">
        <f t="shared" ca="1" si="100"/>
        <v>340481.60475230141</v>
      </c>
      <c r="CO83" s="63">
        <f t="shared" ca="1" si="96"/>
        <v>101.95358558633842</v>
      </c>
      <c r="CP83" s="63">
        <f ca="1">SUM($CO$15:CO83)</f>
        <v>4933.804724651337</v>
      </c>
      <c r="CR83" s="52">
        <f ca="1">EXP(-AVERAGE(CH$15:CH83)*CE83)</f>
        <v>0.78412205798746915</v>
      </c>
      <c r="CT83"/>
      <c r="CU83"/>
      <c r="CV83"/>
      <c r="CW83"/>
      <c r="CX83"/>
      <c r="CY83"/>
      <c r="CZ83"/>
      <c r="DA83"/>
      <c r="DB83"/>
      <c r="DC83"/>
      <c r="DD83"/>
      <c r="DE83"/>
      <c r="DF83"/>
      <c r="DG83"/>
      <c r="DH83"/>
      <c r="DI83"/>
      <c r="DJ83"/>
      <c r="DK83"/>
      <c r="DL83"/>
    </row>
    <row r="84" spans="2:116" ht="15.75" customHeight="1" x14ac:dyDescent="0.2">
      <c r="B84" s="52">
        <v>6</v>
      </c>
      <c r="C84" s="52">
        <f t="shared" ca="1" si="52"/>
        <v>70</v>
      </c>
      <c r="D84" s="71">
        <f t="shared" ca="1" si="70"/>
        <v>47291</v>
      </c>
      <c r="E84" s="71">
        <f t="shared" ca="1" si="53"/>
        <v>47321</v>
      </c>
      <c r="F84" s="72">
        <f t="shared" ca="1" si="54"/>
        <v>30</v>
      </c>
      <c r="G84" s="73">
        <f ca="1">SUM($F$15:F84)/360</f>
        <v>5.916666666666667</v>
      </c>
      <c r="H84" s="74">
        <f t="shared" si="56"/>
        <v>25000000</v>
      </c>
      <c r="I84" s="59">
        <f>IF('Cap Pricer'!$E$22=DataValidation!$C$2,'Cap Pricer'!$E$23,IF('Cap Pricer'!$E$22=DataValidation!$C$3,VLOOKUP($B84,'Cap Pricer'!$C$25:$E$31,3),""))</f>
        <v>0.02</v>
      </c>
      <c r="J84" s="57">
        <f>Volatilities_Resets!$E73*0.01</f>
        <v>3.7854600000000002E-2</v>
      </c>
      <c r="K84" s="61">
        <f>IF(I84=L$11,Volatilities_Resets!$AA73,IF(I84&gt;=K$11,IF(I84&lt;L$11,(((Volatilities_Resets!$AA73-Volatilities_Resets!$Y73)/50)*((Calculator!I84-Calculator!K$11)*10000)+Volatilities_Resets!$Y73)),IF(I84&gt;=K$10,IF(I84&lt;L$10,(((Volatilities_Resets!$Y73-Volatilities_Resets!$W73)/50)*((Calculator!I84-Calculator!K$10)*10000)+Volatilities_Resets!$W73)),IF(I84&gt;=K$9,IF(I84&lt;L$9,(((Volatilities_Resets!$W73-Volatilities_Resets!$U73)/50)*((Calculator!I84-Calculator!K$9)*10000)+Volatilities_Resets!$U73)),IF(I84&gt;=K$8,IF(I84&lt;L$8,(((Volatilities_Resets!$U73-Volatilities_Resets!$S73)/50)*((Calculator!I84-Calculator!K$8)*10000)+Volatilities_Resets!$S73)),IF(I84&gt;=K$7,IF(I84&lt;L$7,(((Volatilities_Resets!$S73-Volatilities_Resets!$Q73)/50)*((Calculator!I84-Calculator!K$7)*10000)+Volatilities_Resets!$Q73)),IF(I84&gt;=K$6,IF(I84&lt;L$6,(((Volatilities_Resets!$Q73-Volatilities_Resets!$O73)/50)*((Calculator!I84-Calculator!K$6)*10000)+Volatilities_Resets!$O73)),IF(I84&gt;=K$5,IF(I84&lt;L$5,(((Volatilities_Resets!$O73-Volatilities_Resets!$M73)/50)*((Calculator!I84-Calculator!K$5)*10000)+Volatilities_Resets!$M73)),IF(I84&gt;=K$4,IF(I84&lt;L$4,(((Volatilities_Resets!$M73-Volatilities_Resets!$K73)/50)*((Calculator!I84-Calculator!K$4)*10000)+Volatilities_Resets!$K73)),IF(I84&gt;=K$3,IF(I84&lt;L$3,(((Volatilities_Resets!$K73-Volatilities_Resets!$I73)/50)*((Calculator!I84-Calculator!K$3)*10000)+Volatilities_Resets!$I73)),IF(I84&gt;=K$2,IF(I84&lt;L$2,(((Volatilities_Resets!$I73-Volatilities_Resets!$G73)/50)*((Calculator!I84-Calculator!K$2)*10000)+Volatilities_Resets!$G73)),"Well, something broke...")))))))))))/10000</f>
        <v>1.1611E-2</v>
      </c>
      <c r="L84" s="47">
        <f t="shared" ca="1" si="71"/>
        <v>36434.885446976739</v>
      </c>
      <c r="M84" s="63">
        <f t="shared" ca="1" si="72"/>
        <v>1.4625803200274084E-3</v>
      </c>
      <c r="N84" s="63">
        <f t="shared" ca="1" si="55"/>
        <v>3241696.2755767852</v>
      </c>
      <c r="Q84" s="63">
        <f t="shared" ca="1" si="73"/>
        <v>101.32024320505089</v>
      </c>
      <c r="R84" s="63">
        <f ca="1">SUM($Q$15:Q84)</f>
        <v>5100.1519828383753</v>
      </c>
      <c r="T84" s="52">
        <f ca="1">EXP(-AVERAGE(J$15:J84)*G84)</f>
        <v>0.78165597194549785</v>
      </c>
      <c r="U84" s="57"/>
      <c r="V84" s="52">
        <f t="shared" ca="1" si="74"/>
        <v>70</v>
      </c>
      <c r="W84" s="71">
        <f t="shared" ca="1" si="75"/>
        <v>47291</v>
      </c>
      <c r="X84" s="71">
        <f t="shared" ca="1" si="57"/>
        <v>47321</v>
      </c>
      <c r="Y84" s="72">
        <f t="shared" ca="1" si="58"/>
        <v>30</v>
      </c>
      <c r="Z84" s="73">
        <f ca="1">SUM(Y$15:Y84)/360</f>
        <v>5.916666666666667</v>
      </c>
      <c r="AA84" s="74">
        <f t="shared" si="59"/>
        <v>25000000</v>
      </c>
      <c r="AB84" s="59">
        <f t="shared" si="76"/>
        <v>0.03</v>
      </c>
      <c r="AC84" s="57">
        <f>Volatilities_Resets!$E73*0.01</f>
        <v>3.7854600000000002E-2</v>
      </c>
      <c r="AD84" s="61">
        <f>IF(AB84=AE$11,Volatilities_Resets!$AA73,IF(AB84&gt;=AD$11,IF(AB84&lt;AE$11,(((Volatilities_Resets!$AA73-Volatilities_Resets!$Y73)/50)*((Calculator!AB84-Calculator!AD$11)*10000)+Volatilities_Resets!$Y73)),IF(AB84&gt;=AD$10,IF(AB84&lt;AE$10,(((Volatilities_Resets!$Y73-Volatilities_Resets!$W73)/50)*((Calculator!AB84-Calculator!AD$10)*10000)+Volatilities_Resets!$W73)),IF(AB84&gt;=AD$9,IF(AB84&lt;AE$9,(((Volatilities_Resets!$W73-Volatilities_Resets!$U73)/50)*((Calculator!AB84-Calculator!AD$9)*10000)+Volatilities_Resets!$U73)),IF(AB84&gt;=AD$8,IF(AB84&lt;AE$8,(((Volatilities_Resets!$U73-Volatilities_Resets!$S73)/50)*((Calculator!AB84-Calculator!AD$8)*10000)+Volatilities_Resets!$S73)),IF(AB84&gt;=AD$7,IF(AB84&lt;AE$7,(((Volatilities_Resets!$S73-Volatilities_Resets!$Q73)/50)*((Calculator!AB84-Calculator!AD$7)*10000)+Volatilities_Resets!$Q73)),IF(AB84&gt;=AD$6,IF(AB84&lt;AE$6,(((Volatilities_Resets!$Q73-Volatilities_Resets!$O73)/50)*((Calculator!AB84-Calculator!AD$6)*10000)+Volatilities_Resets!$O73)),IF(AB84&gt;=AD$5,IF(AB84&lt;AE$5,(((Volatilities_Resets!$O73-Volatilities_Resets!$M73)/50)*((Calculator!AB84-Calculator!AD$5)*10000)+Volatilities_Resets!$M73)),IF(AB84&gt;=AD$4,IF(AB84&lt;AE$4,(((Volatilities_Resets!$M73-Volatilities_Resets!$K73)/50)*((Calculator!AB84-Calculator!AD$4)*10000)+Volatilities_Resets!$K73)),IF(AB84&gt;=AD$3,IF(AB84&lt;AE$3,(((Volatilities_Resets!$K73-Volatilities_Resets!$I73)/50)*((Calculator!AB84-Calculator!AD$3)*10000)+Volatilities_Resets!$I73)),IF(AB84&gt;=AD$2,IF(AB84&lt;AE$2,(((Volatilities_Resets!$I73-Volatilities_Resets!$G73)/50)*((Calculator!AB84-Calculator!AD$2)*10000)+Volatilities_Resets!$G73)),"Well, something broke...")))))))))))/10000</f>
        <v>1.1705E-2</v>
      </c>
      <c r="AE84" s="63">
        <f t="shared" ca="1" si="77"/>
        <v>25591.559695572498</v>
      </c>
      <c r="AF84" s="63">
        <f t="shared" ca="1" si="78"/>
        <v>1.029749291971713E-3</v>
      </c>
      <c r="AG84" s="63">
        <f t="shared" ca="1" si="97"/>
        <v>2228015.2193044783</v>
      </c>
      <c r="AJ84" s="63">
        <f t="shared" ca="1" si="79"/>
        <v>118.94662446448953</v>
      </c>
      <c r="AK84" s="63">
        <f ca="1">SUM($AJ$15:AJ84)</f>
        <v>6207.0484289418619</v>
      </c>
      <c r="AM84" s="52">
        <f ca="1">EXP(-AVERAGE(AC$15:AC84)*Z84)</f>
        <v>0.78165597194549785</v>
      </c>
      <c r="AO84" s="52">
        <f t="shared" ca="1" si="80"/>
        <v>70</v>
      </c>
      <c r="AP84" s="71">
        <f t="shared" ca="1" si="81"/>
        <v>47291</v>
      </c>
      <c r="AQ84" s="71">
        <f t="shared" ca="1" si="60"/>
        <v>47321</v>
      </c>
      <c r="AR84" s="72">
        <f t="shared" ca="1" si="61"/>
        <v>30</v>
      </c>
      <c r="AS84" s="73">
        <f ca="1">SUM(AR$15:AR84)/360</f>
        <v>5.916666666666667</v>
      </c>
      <c r="AT84" s="74">
        <f t="shared" si="62"/>
        <v>25000000</v>
      </c>
      <c r="AU84" s="59">
        <f t="shared" si="82"/>
        <v>0.04</v>
      </c>
      <c r="AV84" s="57">
        <f>Volatilities_Resets!$E73*0.01</f>
        <v>3.7854600000000002E-2</v>
      </c>
      <c r="AW84" s="61">
        <f>IF(AU84=AX$11,Volatilities_Resets!$AA73,IF(AU84&gt;=AW$11,IF(AU84&lt;AX$11,(((Volatilities_Resets!$AA73-Volatilities_Resets!$Y73)/50)*((Calculator!AU84-Calculator!AW$11)*10000)+Volatilities_Resets!$Y73)),IF(AU84&gt;=AW$10,IF(AU84&lt;AX$10,(((Volatilities_Resets!$Y73-Volatilities_Resets!$W73)/50)*((Calculator!AU84-Calculator!AW$10)*10000)+Volatilities_Resets!$W73)),IF(AU84&gt;=AW$9,IF(AU84&lt;AX$9,(((Volatilities_Resets!$W73-Volatilities_Resets!$U73)/50)*((Calculator!AU84-Calculator!AW$9)*10000)+Volatilities_Resets!$U73)),IF(AU84&gt;=AW$8,IF(AU84&lt;AX$8,(((Volatilities_Resets!$U73-Volatilities_Resets!$S73)/50)*((Calculator!AU84-Calculator!AW$8)*10000)+Volatilities_Resets!$S73)),IF(AU84&gt;=AW$7,IF(AU84&lt;AX$7,(((Volatilities_Resets!$S73-Volatilities_Resets!$Q73)/50)*((Calculator!AU84-Calculator!AW$7)*10000)+Volatilities_Resets!$Q73)),IF(AU84&gt;=AW$6,IF(AU84&lt;AX$6,(((Volatilities_Resets!$Q73-Volatilities_Resets!$O73)/50)*((Calculator!AU84-Calculator!AW$6)*10000)+Volatilities_Resets!$O73)),IF(AU84&gt;=AW$5,IF(AU84&lt;AX$5,(((Volatilities_Resets!$O73-Volatilities_Resets!$M73)/50)*((Calculator!AU84-Calculator!AW$5)*10000)+Volatilities_Resets!$M73)),IF(AU84&gt;=AW$4,IF(AU84&lt;AX$4,(((Volatilities_Resets!$M73-Volatilities_Resets!$K73)/50)*((Calculator!AU84-Calculator!AW$4)*10000)+Volatilities_Resets!$K73)),IF(AU84&gt;=AW$3,IF(AU84&lt;AX$3,(((Volatilities_Resets!$K73-Volatilities_Resets!$I73)/50)*((Calculator!AU84-Calculator!AW$3)*10000)+Volatilities_Resets!$I73)),IF(AU84&gt;=AW$2,IF(AU84&lt;AX$2,(((Volatilities_Resets!$I73-Volatilities_Resets!$G73)/50)*((Calculator!AU84-Calculator!AW$2)*10000)+Volatilities_Resets!$G73)),"Well, something broke...")))))))))))/10000</f>
        <v>1.209E-2</v>
      </c>
      <c r="AX84" s="63">
        <f t="shared" ca="1" si="83"/>
        <v>17409.079978249316</v>
      </c>
      <c r="AY84" s="63">
        <f t="shared" ca="1" si="84"/>
        <v>7.0266749827393581E-4</v>
      </c>
      <c r="AZ84" s="63">
        <f t="shared" ca="1" si="98"/>
        <v>1357451.5812277165</v>
      </c>
      <c r="BC84" s="63">
        <f t="shared" ca="1" si="63"/>
        <v>123.19482687024168</v>
      </c>
      <c r="BD84" s="63">
        <f ca="1">SUM($BC$15:BC84)</f>
        <v>6689.9200335717724</v>
      </c>
      <c r="BF84" s="52">
        <f ca="1">EXP(-AVERAGE(AV$15:AV84)*AS84)</f>
        <v>0.78165597194549785</v>
      </c>
      <c r="BH84" s="52">
        <f t="shared" ca="1" si="85"/>
        <v>70</v>
      </c>
      <c r="BI84" s="71">
        <f t="shared" ca="1" si="86"/>
        <v>47291</v>
      </c>
      <c r="BJ84" s="71">
        <f t="shared" ca="1" si="64"/>
        <v>47321</v>
      </c>
      <c r="BK84" s="72">
        <f t="shared" ca="1" si="65"/>
        <v>30</v>
      </c>
      <c r="BL84" s="73">
        <f ca="1">SUM(BK$15:BK84)/360</f>
        <v>5.916666666666667</v>
      </c>
      <c r="BM84" s="74">
        <f t="shared" si="66"/>
        <v>25000000</v>
      </c>
      <c r="BN84" s="59">
        <f t="shared" si="87"/>
        <v>0.05</v>
      </c>
      <c r="BO84" s="57">
        <f>Volatilities_Resets!$E73*0.01</f>
        <v>3.7854600000000002E-2</v>
      </c>
      <c r="BP84" s="61">
        <f>IF(BN84=BQ$11,Volatilities_Resets!$AA73,IF(BN84&gt;=BP$11,IF(BN84&lt;BQ$11,(((Volatilities_Resets!$AA73-Volatilities_Resets!$Y73)/50)*((Calculator!BN84-Calculator!BP$11)*10000)+Volatilities_Resets!$Y73)),IF(BN84&gt;=BP$10,IF(BN84&lt;BQ$10,(((Volatilities_Resets!$Y73-Volatilities_Resets!$W73)/50)*((Calculator!BN84-Calculator!BP$10)*10000)+Volatilities_Resets!$W73)),IF(BN84&gt;=BP$9,IF(BN84&lt;BQ$9,(((Volatilities_Resets!$W73-Volatilities_Resets!$U73)/50)*((Calculator!BN84-Calculator!BP$9)*10000)+Volatilities_Resets!$U73)),IF(BN84&gt;=BP$8,IF(BN84&lt;BQ$8,(((Volatilities_Resets!$U73-Volatilities_Resets!$S73)/50)*((Calculator!BN84-Calculator!BP$8)*10000)+Volatilities_Resets!$S73)),IF(BN84&gt;=BP$7,IF(BN84&lt;BQ$7,(((Volatilities_Resets!$S73-Volatilities_Resets!$Q73)/50)*((Calculator!BN84-Calculator!BP$7)*10000)+Volatilities_Resets!$Q73)),IF(BN84&gt;=BP$6,IF(BN84&lt;BQ$6,(((Volatilities_Resets!$Q73-Volatilities_Resets!$O73)/50)*((Calculator!BN84-Calculator!BP$6)*10000)+Volatilities_Resets!$O73)),IF(BN84&gt;=BP$5,IF(BN84&lt;BQ$5,(((Volatilities_Resets!$O73-Volatilities_Resets!$M73)/50)*((Calculator!BN84-Calculator!BP$5)*10000)+Volatilities_Resets!$M73)),IF(BN84&gt;=BP$4,IF(BN84&lt;BQ$4,(((Volatilities_Resets!$M73-Volatilities_Resets!$K73)/50)*((Calculator!BN84-Calculator!BP$4)*10000)+Volatilities_Resets!$K73)),IF(BN84&gt;=BP$3,IF(BN84&lt;BQ$3,(((Volatilities_Resets!$K73-Volatilities_Resets!$I73)/50)*((Calculator!BN84-Calculator!BP$3)*10000)+Volatilities_Resets!$I73)),IF(BN84&gt;=BP$2,IF(BN84&lt;BQ$2,(((Volatilities_Resets!$I73-Volatilities_Resets!$G73)/50)*((Calculator!BN84-Calculator!BP$2)*10000)+Volatilities_Resets!$G73)),"Well, something broke...")))))))))))/10000</f>
        <v>1.2761E-2</v>
      </c>
      <c r="BQ84" s="63">
        <f t="shared" ca="1" si="88"/>
        <v>11800.627850001889</v>
      </c>
      <c r="BR84" s="63">
        <f t="shared" ca="1" si="89"/>
        <v>4.7788374511645705E-4</v>
      </c>
      <c r="BS84" s="63">
        <f t="shared" ca="1" si="99"/>
        <v>699664.20055711432</v>
      </c>
      <c r="BV84" s="63">
        <f t="shared" ca="1" si="90"/>
        <v>114.48584998863316</v>
      </c>
      <c r="BW84" s="63">
        <f ca="1">SUM($BV$15:BV84)</f>
        <v>6447.815340957487</v>
      </c>
      <c r="BY84" s="52">
        <f ca="1">EXP(-AVERAGE(BO$15:BO84)*BL84)</f>
        <v>0.78165597194549785</v>
      </c>
      <c r="CA84" s="52">
        <f t="shared" ca="1" si="91"/>
        <v>70</v>
      </c>
      <c r="CB84" s="71">
        <f t="shared" ca="1" si="92"/>
        <v>47291</v>
      </c>
      <c r="CC84" s="71">
        <f t="shared" ca="1" si="67"/>
        <v>47321</v>
      </c>
      <c r="CD84" s="72">
        <f t="shared" ca="1" si="68"/>
        <v>30</v>
      </c>
      <c r="CE84" s="73">
        <f ca="1">SUM(CD$15:CD84)/360</f>
        <v>5.916666666666667</v>
      </c>
      <c r="CF84" s="74">
        <f t="shared" si="69"/>
        <v>25000000</v>
      </c>
      <c r="CG84" s="59">
        <f t="shared" si="93"/>
        <v>0.06</v>
      </c>
      <c r="CH84" s="57">
        <f>Volatilities_Resets!$E73*0.01</f>
        <v>3.7854600000000002E-2</v>
      </c>
      <c r="CI84" s="61">
        <f>IF(CG84=CJ$11,Volatilities_Resets!$AA73,IF(CG84&gt;=CI$11,IF(CG84&lt;CJ$11,(((Volatilities_Resets!$AA73-Volatilities_Resets!$Y73)/50)*((Calculator!CG84-Calculator!CI$11)*10000)+Volatilities_Resets!$Y73)),IF(CG84&gt;=CI$10,IF(CG84&lt;CJ$10,(((Volatilities_Resets!$Y73-Volatilities_Resets!$W73)/50)*((Calculator!CG84-Calculator!CI$10)*10000)+Volatilities_Resets!$W73)),IF(CG84&gt;=CI$9,IF(CG84&lt;CJ$9,(((Volatilities_Resets!$W73-Volatilities_Resets!$U73)/50)*((Calculator!CG84-Calculator!CI$9)*10000)+Volatilities_Resets!$U73)),IF(CG84&gt;=CI$8,IF(CG84&lt;CJ$8,(((Volatilities_Resets!$U73-Volatilities_Resets!$S73)/50)*((Calculator!CG84-Calculator!CI$8)*10000)+Volatilities_Resets!$S73)),IF(CG84&gt;=CI$7,IF(CG84&lt;CJ$7,(((Volatilities_Resets!$S73-Volatilities_Resets!$Q73)/50)*((Calculator!CG84-Calculator!CI$7)*10000)+Volatilities_Resets!$Q73)),IF(CG84&gt;=CI$6,IF(CG84&lt;CJ$6,(((Volatilities_Resets!$Q73-Volatilities_Resets!$O73)/50)*((Calculator!CG84-Calculator!CI$6)*10000)+Volatilities_Resets!$O73)),IF(CG84&gt;=CI$5,IF(CG84&lt;CJ$5,(((Volatilities_Resets!$O73-Volatilities_Resets!$M73)/50)*((Calculator!CG84-Calculator!CI$5)*10000)+Volatilities_Resets!$M73)),IF(CG84&gt;=CI$4,IF(CG84&lt;CJ$4,(((Volatilities_Resets!$M73-Volatilities_Resets!$K73)/50)*((Calculator!CG84-Calculator!CI$4)*10000)+Volatilities_Resets!$K73)),IF(CG84&gt;=CI$3,IF(CG84&lt;CJ$3,(((Volatilities_Resets!$K73-Volatilities_Resets!$I73)/50)*((Calculator!CG84-Calculator!CI$3)*10000)+Volatilities_Resets!$I73)),IF(CG84&gt;=CI$2,IF(CG84&lt;CJ$2,(((Volatilities_Resets!$I73-Volatilities_Resets!$G73)/50)*((Calculator!CG84-Calculator!CI$2)*10000)+Volatilities_Resets!$G73)),"Well, something broke...")))))))))))/10000</f>
        <v>1.3650000000000001E-2</v>
      </c>
      <c r="CJ84" s="63">
        <f t="shared" ca="1" si="94"/>
        <v>8166.5704007867162</v>
      </c>
      <c r="CK84" s="63">
        <f t="shared" ca="1" si="95"/>
        <v>3.3173138485760015E-4</v>
      </c>
      <c r="CL84" s="63">
        <f t="shared" ca="1" si="100"/>
        <v>348648.17515308812</v>
      </c>
      <c r="CO84" s="63">
        <f t="shared" ca="1" si="96"/>
        <v>99.046927304061484</v>
      </c>
      <c r="CP84" s="63">
        <f ca="1">SUM($CO$15:CO84)</f>
        <v>5032.8516519553987</v>
      </c>
      <c r="CR84" s="52">
        <f ca="1">EXP(-AVERAGE(CH$15:CH84)*CE84)</f>
        <v>0.78165597194549785</v>
      </c>
      <c r="CT84"/>
      <c r="CU84"/>
      <c r="CV84"/>
      <c r="CW84"/>
      <c r="CX84"/>
      <c r="CY84"/>
      <c r="CZ84"/>
      <c r="DA84"/>
      <c r="DB84"/>
      <c r="DC84"/>
      <c r="DD84"/>
      <c r="DE84"/>
      <c r="DF84"/>
      <c r="DG84"/>
      <c r="DH84"/>
      <c r="DI84"/>
      <c r="DJ84"/>
      <c r="DK84"/>
      <c r="DL84"/>
    </row>
    <row r="85" spans="2:116" ht="15.75" customHeight="1" x14ac:dyDescent="0.2">
      <c r="B85" s="52">
        <v>6</v>
      </c>
      <c r="C85" s="52">
        <f t="shared" ca="1" si="52"/>
        <v>71</v>
      </c>
      <c r="D85" s="71">
        <f t="shared" ca="1" si="70"/>
        <v>47321</v>
      </c>
      <c r="E85" s="71">
        <f t="shared" ca="1" si="53"/>
        <v>47352</v>
      </c>
      <c r="F85" s="72">
        <f t="shared" ca="1" si="54"/>
        <v>31</v>
      </c>
      <c r="G85" s="73">
        <f ca="1">SUM($F$15:F85)/360</f>
        <v>6.0027777777777782</v>
      </c>
      <c r="H85" s="74">
        <f t="shared" si="56"/>
        <v>25000000</v>
      </c>
      <c r="I85" s="59">
        <f>IF('Cap Pricer'!$E$22=DataValidation!$C$2,'Cap Pricer'!$E$23,IF('Cap Pricer'!$E$22=DataValidation!$C$3,VLOOKUP($B85,'Cap Pricer'!$C$25:$E$31,3),""))</f>
        <v>0.02</v>
      </c>
      <c r="J85" s="57">
        <f>Volatilities_Resets!$E74*0.01</f>
        <v>3.7860499999999998E-2</v>
      </c>
      <c r="K85" s="61">
        <f>IF(I85=L$11,Volatilities_Resets!$AA74,IF(I85&gt;=K$11,IF(I85&lt;L$11,(((Volatilities_Resets!$AA74-Volatilities_Resets!$Y74)/50)*((Calculator!I85-Calculator!K$11)*10000)+Volatilities_Resets!$Y74)),IF(I85&gt;=K$10,IF(I85&lt;L$10,(((Volatilities_Resets!$Y74-Volatilities_Resets!$W74)/50)*((Calculator!I85-Calculator!K$10)*10000)+Volatilities_Resets!$W74)),IF(I85&gt;=K$9,IF(I85&lt;L$9,(((Volatilities_Resets!$W74-Volatilities_Resets!$U74)/50)*((Calculator!I85-Calculator!K$9)*10000)+Volatilities_Resets!$U74)),IF(I85&gt;=K$8,IF(I85&lt;L$8,(((Volatilities_Resets!$U74-Volatilities_Resets!$S74)/50)*((Calculator!I85-Calculator!K$8)*10000)+Volatilities_Resets!$S74)),IF(I85&gt;=K$7,IF(I85&lt;L$7,(((Volatilities_Resets!$S74-Volatilities_Resets!$Q74)/50)*((Calculator!I85-Calculator!K$7)*10000)+Volatilities_Resets!$Q74)),IF(I85&gt;=K$6,IF(I85&lt;L$6,(((Volatilities_Resets!$Q74-Volatilities_Resets!$O74)/50)*((Calculator!I85-Calculator!K$6)*10000)+Volatilities_Resets!$O74)),IF(I85&gt;=K$5,IF(I85&lt;L$5,(((Volatilities_Resets!$O74-Volatilities_Resets!$M74)/50)*((Calculator!I85-Calculator!K$5)*10000)+Volatilities_Resets!$M74)),IF(I85&gt;=K$4,IF(I85&lt;L$4,(((Volatilities_Resets!$M74-Volatilities_Resets!$K74)/50)*((Calculator!I85-Calculator!K$4)*10000)+Volatilities_Resets!$K74)),IF(I85&gt;=K$3,IF(I85&lt;L$3,(((Volatilities_Resets!$K74-Volatilities_Resets!$I74)/50)*((Calculator!I85-Calculator!K$3)*10000)+Volatilities_Resets!$I74)),IF(I85&gt;=K$2,IF(I85&lt;L$2,(((Volatilities_Resets!$I74-Volatilities_Resets!$G74)/50)*((Calculator!I85-Calculator!K$2)*10000)+Volatilities_Resets!$G74)),"Well, something broke...")))))))))))/10000</f>
        <v>1.1331000000000001E-2</v>
      </c>
      <c r="L85" s="47">
        <f t="shared" ca="1" si="71"/>
        <v>37271.166867900807</v>
      </c>
      <c r="M85" s="63">
        <f t="shared" ca="1" si="72"/>
        <v>1.4961880268510503E-3</v>
      </c>
      <c r="N85" s="63">
        <f t="shared" ca="1" si="55"/>
        <v>3278967.4424446858</v>
      </c>
      <c r="Q85" s="63">
        <f t="shared" ca="1" si="73"/>
        <v>104.03714191012504</v>
      </c>
      <c r="R85" s="63">
        <f ca="1">SUM($Q$15:Q85)</f>
        <v>5204.1891247485</v>
      </c>
      <c r="T85" s="52">
        <f ca="1">EXP(-AVERAGE(J$15:J85)*G85)</f>
        <v>0.77910715699161481</v>
      </c>
      <c r="U85" s="57"/>
      <c r="V85" s="52">
        <f t="shared" ca="1" si="74"/>
        <v>71</v>
      </c>
      <c r="W85" s="71">
        <f t="shared" ca="1" si="75"/>
        <v>47321</v>
      </c>
      <c r="X85" s="71">
        <f t="shared" ca="1" si="57"/>
        <v>47352</v>
      </c>
      <c r="Y85" s="72">
        <f t="shared" ca="1" si="58"/>
        <v>31</v>
      </c>
      <c r="Z85" s="73">
        <f ca="1">SUM(Y$15:Y85)/360</f>
        <v>6.0027777777777782</v>
      </c>
      <c r="AA85" s="74">
        <f t="shared" si="59"/>
        <v>25000000</v>
      </c>
      <c r="AB85" s="59">
        <f t="shared" si="76"/>
        <v>0.03</v>
      </c>
      <c r="AC85" s="57">
        <f>Volatilities_Resets!$E74*0.01</f>
        <v>3.7860499999999998E-2</v>
      </c>
      <c r="AD85" s="61">
        <f>IF(AB85=AE$11,Volatilities_Resets!$AA74,IF(AB85&gt;=AD$11,IF(AB85&lt;AE$11,(((Volatilities_Resets!$AA74-Volatilities_Resets!$Y74)/50)*((Calculator!AB85-Calculator!AD$11)*10000)+Volatilities_Resets!$Y74)),IF(AB85&gt;=AD$10,IF(AB85&lt;AE$10,(((Volatilities_Resets!$Y74-Volatilities_Resets!$W74)/50)*((Calculator!AB85-Calculator!AD$10)*10000)+Volatilities_Resets!$W74)),IF(AB85&gt;=AD$9,IF(AB85&lt;AE$9,(((Volatilities_Resets!$W74-Volatilities_Resets!$U74)/50)*((Calculator!AB85-Calculator!AD$9)*10000)+Volatilities_Resets!$U74)),IF(AB85&gt;=AD$8,IF(AB85&lt;AE$8,(((Volatilities_Resets!$U74-Volatilities_Resets!$S74)/50)*((Calculator!AB85-Calculator!AD$8)*10000)+Volatilities_Resets!$S74)),IF(AB85&gt;=AD$7,IF(AB85&lt;AE$7,(((Volatilities_Resets!$S74-Volatilities_Resets!$Q74)/50)*((Calculator!AB85-Calculator!AD$7)*10000)+Volatilities_Resets!$Q74)),IF(AB85&gt;=AD$6,IF(AB85&lt;AE$6,(((Volatilities_Resets!$Q74-Volatilities_Resets!$O74)/50)*((Calculator!AB85-Calculator!AD$6)*10000)+Volatilities_Resets!$O74)),IF(AB85&gt;=AD$5,IF(AB85&lt;AE$5,(((Volatilities_Resets!$O74-Volatilities_Resets!$M74)/50)*((Calculator!AB85-Calculator!AD$5)*10000)+Volatilities_Resets!$M74)),IF(AB85&gt;=AD$4,IF(AB85&lt;AE$4,(((Volatilities_Resets!$M74-Volatilities_Resets!$K74)/50)*((Calculator!AB85-Calculator!AD$4)*10000)+Volatilities_Resets!$K74)),IF(AB85&gt;=AD$3,IF(AB85&lt;AE$3,(((Volatilities_Resets!$K74-Volatilities_Resets!$I74)/50)*((Calculator!AB85-Calculator!AD$3)*10000)+Volatilities_Resets!$I74)),IF(AB85&gt;=AD$2,IF(AB85&lt;AE$2,(((Volatilities_Resets!$I74-Volatilities_Resets!$G74)/50)*((Calculator!AB85-Calculator!AD$2)*10000)+Volatilities_Resets!$G74)),"Well, something broke...")))))))))))/10000</f>
        <v>1.145E-2</v>
      </c>
      <c r="AE85" s="63">
        <f t="shared" ca="1" si="77"/>
        <v>26095.113263103089</v>
      </c>
      <c r="AF85" s="63">
        <f t="shared" ca="1" si="78"/>
        <v>1.0501118015905665E-3</v>
      </c>
      <c r="AG85" s="63">
        <f t="shared" ca="1" si="97"/>
        <v>2254110.3325675814</v>
      </c>
      <c r="AJ85" s="63">
        <f t="shared" ca="1" si="79"/>
        <v>122.85100072379782</v>
      </c>
      <c r="AK85" s="63">
        <f ca="1">SUM($AJ$15:AJ85)</f>
        <v>6329.8994296656601</v>
      </c>
      <c r="AM85" s="52">
        <f ca="1">EXP(-AVERAGE(AC$15:AC85)*Z85)</f>
        <v>0.77910715699161481</v>
      </c>
      <c r="AO85" s="52">
        <f t="shared" ca="1" si="80"/>
        <v>71</v>
      </c>
      <c r="AP85" s="71">
        <f t="shared" ca="1" si="81"/>
        <v>47321</v>
      </c>
      <c r="AQ85" s="71">
        <f t="shared" ca="1" si="60"/>
        <v>47352</v>
      </c>
      <c r="AR85" s="72">
        <f t="shared" ca="1" si="61"/>
        <v>31</v>
      </c>
      <c r="AS85" s="73">
        <f ca="1">SUM(AR$15:AR85)/360</f>
        <v>6.0027777777777782</v>
      </c>
      <c r="AT85" s="74">
        <f t="shared" si="62"/>
        <v>25000000</v>
      </c>
      <c r="AU85" s="59">
        <f t="shared" si="82"/>
        <v>0.04</v>
      </c>
      <c r="AV85" s="57">
        <f>Volatilities_Resets!$E74*0.01</f>
        <v>3.7860499999999998E-2</v>
      </c>
      <c r="AW85" s="61">
        <f>IF(AU85=AX$11,Volatilities_Resets!$AA74,IF(AU85&gt;=AW$11,IF(AU85&lt;AX$11,(((Volatilities_Resets!$AA74-Volatilities_Resets!$Y74)/50)*((Calculator!AU85-Calculator!AW$11)*10000)+Volatilities_Resets!$Y74)),IF(AU85&gt;=AW$10,IF(AU85&lt;AX$10,(((Volatilities_Resets!$Y74-Volatilities_Resets!$W74)/50)*((Calculator!AU85-Calculator!AW$10)*10000)+Volatilities_Resets!$W74)),IF(AU85&gt;=AW$9,IF(AU85&lt;AX$9,(((Volatilities_Resets!$W74-Volatilities_Resets!$U74)/50)*((Calculator!AU85-Calculator!AW$9)*10000)+Volatilities_Resets!$U74)),IF(AU85&gt;=AW$8,IF(AU85&lt;AX$8,(((Volatilities_Resets!$U74-Volatilities_Resets!$S74)/50)*((Calculator!AU85-Calculator!AW$8)*10000)+Volatilities_Resets!$S74)),IF(AU85&gt;=AW$7,IF(AU85&lt;AX$7,(((Volatilities_Resets!$S74-Volatilities_Resets!$Q74)/50)*((Calculator!AU85-Calculator!AW$7)*10000)+Volatilities_Resets!$Q74)),IF(AU85&gt;=AW$6,IF(AU85&lt;AX$6,(((Volatilities_Resets!$Q74-Volatilities_Resets!$O74)/50)*((Calculator!AU85-Calculator!AW$6)*10000)+Volatilities_Resets!$O74)),IF(AU85&gt;=AW$5,IF(AU85&lt;AX$5,(((Volatilities_Resets!$O74-Volatilities_Resets!$M74)/50)*((Calculator!AU85-Calculator!AW$5)*10000)+Volatilities_Resets!$M74)),IF(AU85&gt;=AW$4,IF(AU85&lt;AX$4,(((Volatilities_Resets!$M74-Volatilities_Resets!$K74)/50)*((Calculator!AU85-Calculator!AW$4)*10000)+Volatilities_Resets!$K74)),IF(AU85&gt;=AW$3,IF(AU85&lt;AX$3,(((Volatilities_Resets!$K74-Volatilities_Resets!$I74)/50)*((Calculator!AU85-Calculator!AW$3)*10000)+Volatilities_Resets!$I74)),IF(AU85&gt;=AW$2,IF(AU85&lt;AX$2,(((Volatilities_Resets!$I74-Volatilities_Resets!$G74)/50)*((Calculator!AU85-Calculator!AW$2)*10000)+Volatilities_Resets!$G74)),"Well, something broke...")))))))))))/10000</f>
        <v>1.1845E-2</v>
      </c>
      <c r="AX85" s="63">
        <f t="shared" ca="1" si="83"/>
        <v>17677.102601969767</v>
      </c>
      <c r="AY85" s="63">
        <f t="shared" ca="1" si="84"/>
        <v>7.1362402148727306E-4</v>
      </c>
      <c r="AZ85" s="63">
        <f t="shared" ca="1" si="98"/>
        <v>1375128.6838296864</v>
      </c>
      <c r="BC85" s="63">
        <f t="shared" ca="1" si="63"/>
        <v>127.38241147706663</v>
      </c>
      <c r="BD85" s="63">
        <f ca="1">SUM($BC$15:BC85)</f>
        <v>6817.3024450488392</v>
      </c>
      <c r="BF85" s="52">
        <f ca="1">EXP(-AVERAGE(AV$15:AV85)*AS85)</f>
        <v>0.77910715699161481</v>
      </c>
      <c r="BH85" s="52">
        <f t="shared" ca="1" si="85"/>
        <v>71</v>
      </c>
      <c r="BI85" s="71">
        <f t="shared" ca="1" si="86"/>
        <v>47321</v>
      </c>
      <c r="BJ85" s="71">
        <f t="shared" ca="1" si="64"/>
        <v>47352</v>
      </c>
      <c r="BK85" s="72">
        <f t="shared" ca="1" si="65"/>
        <v>31</v>
      </c>
      <c r="BL85" s="73">
        <f ca="1">SUM(BK$15:BK85)/360</f>
        <v>6.0027777777777782</v>
      </c>
      <c r="BM85" s="74">
        <f t="shared" si="66"/>
        <v>25000000</v>
      </c>
      <c r="BN85" s="59">
        <f t="shared" si="87"/>
        <v>0.05</v>
      </c>
      <c r="BO85" s="57">
        <f>Volatilities_Resets!$E74*0.01</f>
        <v>3.7860499999999998E-2</v>
      </c>
      <c r="BP85" s="61">
        <f>IF(BN85=BQ$11,Volatilities_Resets!$AA74,IF(BN85&gt;=BP$11,IF(BN85&lt;BQ$11,(((Volatilities_Resets!$AA74-Volatilities_Resets!$Y74)/50)*((Calculator!BN85-Calculator!BP$11)*10000)+Volatilities_Resets!$Y74)),IF(BN85&gt;=BP$10,IF(BN85&lt;BQ$10,(((Volatilities_Resets!$Y74-Volatilities_Resets!$W74)/50)*((Calculator!BN85-Calculator!BP$10)*10000)+Volatilities_Resets!$W74)),IF(BN85&gt;=BP$9,IF(BN85&lt;BQ$9,(((Volatilities_Resets!$W74-Volatilities_Resets!$U74)/50)*((Calculator!BN85-Calculator!BP$9)*10000)+Volatilities_Resets!$U74)),IF(BN85&gt;=BP$8,IF(BN85&lt;BQ$8,(((Volatilities_Resets!$U74-Volatilities_Resets!$S74)/50)*((Calculator!BN85-Calculator!BP$8)*10000)+Volatilities_Resets!$S74)),IF(BN85&gt;=BP$7,IF(BN85&lt;BQ$7,(((Volatilities_Resets!$S74-Volatilities_Resets!$Q74)/50)*((Calculator!BN85-Calculator!BP$7)*10000)+Volatilities_Resets!$Q74)),IF(BN85&gt;=BP$6,IF(BN85&lt;BQ$6,(((Volatilities_Resets!$Q74-Volatilities_Resets!$O74)/50)*((Calculator!BN85-Calculator!BP$6)*10000)+Volatilities_Resets!$O74)),IF(BN85&gt;=BP$5,IF(BN85&lt;BQ$5,(((Volatilities_Resets!$O74-Volatilities_Resets!$M74)/50)*((Calculator!BN85-Calculator!BP$5)*10000)+Volatilities_Resets!$M74)),IF(BN85&gt;=BP$4,IF(BN85&lt;BQ$4,(((Volatilities_Resets!$M74-Volatilities_Resets!$K74)/50)*((Calculator!BN85-Calculator!BP$4)*10000)+Volatilities_Resets!$K74)),IF(BN85&gt;=BP$3,IF(BN85&lt;BQ$3,(((Volatilities_Resets!$K74-Volatilities_Resets!$I74)/50)*((Calculator!BN85-Calculator!BP$3)*10000)+Volatilities_Resets!$I74)),IF(BN85&gt;=BP$2,IF(BN85&lt;BQ$2,(((Volatilities_Resets!$I74-Volatilities_Resets!$G74)/50)*((Calculator!BN85-Calculator!BP$2)*10000)+Volatilities_Resets!$G74)),"Well, something broke...")))))))))))/10000</f>
        <v>1.2508E-2</v>
      </c>
      <c r="BQ85" s="63">
        <f t="shared" ca="1" si="88"/>
        <v>11913.181558541419</v>
      </c>
      <c r="BR85" s="63">
        <f t="shared" ca="1" si="89"/>
        <v>4.8259376648018679E-4</v>
      </c>
      <c r="BS85" s="63">
        <f t="shared" ca="1" si="99"/>
        <v>711577.3821156557</v>
      </c>
      <c r="BV85" s="63">
        <f t="shared" ca="1" si="90"/>
        <v>118.16141980620068</v>
      </c>
      <c r="BW85" s="63">
        <f ca="1">SUM($BV$15:BV85)</f>
        <v>6565.9767607636877</v>
      </c>
      <c r="BY85" s="52">
        <f ca="1">EXP(-AVERAGE(BO$15:BO85)*BL85)</f>
        <v>0.77910715699161481</v>
      </c>
      <c r="CA85" s="52">
        <f t="shared" ca="1" si="91"/>
        <v>71</v>
      </c>
      <c r="CB85" s="71">
        <f t="shared" ca="1" si="92"/>
        <v>47321</v>
      </c>
      <c r="CC85" s="71">
        <f t="shared" ca="1" si="67"/>
        <v>47352</v>
      </c>
      <c r="CD85" s="72">
        <f t="shared" ca="1" si="68"/>
        <v>31</v>
      </c>
      <c r="CE85" s="73">
        <f ca="1">SUM(CD$15:CD85)/360</f>
        <v>6.0027777777777782</v>
      </c>
      <c r="CF85" s="74">
        <f t="shared" si="69"/>
        <v>25000000</v>
      </c>
      <c r="CG85" s="59">
        <f t="shared" si="93"/>
        <v>0.06</v>
      </c>
      <c r="CH85" s="57">
        <f>Volatilities_Resets!$E74*0.01</f>
        <v>3.7860499999999998E-2</v>
      </c>
      <c r="CI85" s="61">
        <f>IF(CG85=CJ$11,Volatilities_Resets!$AA74,IF(CG85&gt;=CI$11,IF(CG85&lt;CJ$11,(((Volatilities_Resets!$AA74-Volatilities_Resets!$Y74)/50)*((Calculator!CG85-Calculator!CI$11)*10000)+Volatilities_Resets!$Y74)),IF(CG85&gt;=CI$10,IF(CG85&lt;CJ$10,(((Volatilities_Resets!$Y74-Volatilities_Resets!$W74)/50)*((Calculator!CG85-Calculator!CI$10)*10000)+Volatilities_Resets!$W74)),IF(CG85&gt;=CI$9,IF(CG85&lt;CJ$9,(((Volatilities_Resets!$W74-Volatilities_Resets!$U74)/50)*((Calculator!CG85-Calculator!CI$9)*10000)+Volatilities_Resets!$U74)),IF(CG85&gt;=CI$8,IF(CG85&lt;CJ$8,(((Volatilities_Resets!$U74-Volatilities_Resets!$S74)/50)*((Calculator!CG85-Calculator!CI$8)*10000)+Volatilities_Resets!$S74)),IF(CG85&gt;=CI$7,IF(CG85&lt;CJ$7,(((Volatilities_Resets!$S74-Volatilities_Resets!$Q74)/50)*((Calculator!CG85-Calculator!CI$7)*10000)+Volatilities_Resets!$Q74)),IF(CG85&gt;=CI$6,IF(CG85&lt;CJ$6,(((Volatilities_Resets!$Q74-Volatilities_Resets!$O74)/50)*((Calculator!CG85-Calculator!CI$6)*10000)+Volatilities_Resets!$O74)),IF(CG85&gt;=CI$5,IF(CG85&lt;CJ$5,(((Volatilities_Resets!$O74-Volatilities_Resets!$M74)/50)*((Calculator!CG85-Calculator!CI$5)*10000)+Volatilities_Resets!$M74)),IF(CG85&gt;=CI$4,IF(CG85&lt;CJ$4,(((Volatilities_Resets!$M74-Volatilities_Resets!$K74)/50)*((Calculator!CG85-Calculator!CI$4)*10000)+Volatilities_Resets!$K74)),IF(CG85&gt;=CI$3,IF(CG85&lt;CJ$3,(((Volatilities_Resets!$K74-Volatilities_Resets!$I74)/50)*((Calculator!CG85-Calculator!CI$3)*10000)+Volatilities_Resets!$I74)),IF(CG85&gt;=CI$2,IF(CG85&lt;CJ$2,(((Volatilities_Resets!$I74-Volatilities_Resets!$G74)/50)*((Calculator!CG85-Calculator!CI$2)*10000)+Volatilities_Resets!$G74)),"Well, something broke...")))))))))))/10000</f>
        <v>1.3372999999999999E-2</v>
      </c>
      <c r="CJ85" s="63">
        <f t="shared" ca="1" si="94"/>
        <v>8179.8507822351967</v>
      </c>
      <c r="CK85" s="63">
        <f t="shared" ca="1" si="95"/>
        <v>3.3242198333846107E-4</v>
      </c>
      <c r="CL85" s="63">
        <f t="shared" ca="1" si="100"/>
        <v>356828.02593532333</v>
      </c>
      <c r="CO85" s="63">
        <f t="shared" ca="1" si="96"/>
        <v>101.82837144565833</v>
      </c>
      <c r="CP85" s="63">
        <f ca="1">SUM($CO$15:CO85)</f>
        <v>5134.680023401057</v>
      </c>
      <c r="CR85" s="52">
        <f ca="1">EXP(-AVERAGE(CH$15:CH85)*CE85)</f>
        <v>0.77910715699161481</v>
      </c>
      <c r="CT85"/>
      <c r="CU85"/>
      <c r="CV85"/>
      <c r="CW85"/>
      <c r="CX85"/>
      <c r="CY85"/>
      <c r="CZ85"/>
      <c r="DA85"/>
      <c r="DB85"/>
      <c r="DC85"/>
      <c r="DD85"/>
      <c r="DE85"/>
      <c r="DF85"/>
      <c r="DG85"/>
      <c r="DH85"/>
      <c r="DI85"/>
      <c r="DJ85"/>
      <c r="DK85"/>
      <c r="DL85"/>
    </row>
    <row r="86" spans="2:116" ht="15.75" customHeight="1" x14ac:dyDescent="0.2">
      <c r="B86" s="52">
        <v>6</v>
      </c>
      <c r="C86" s="75">
        <f t="shared" ca="1" si="52"/>
        <v>72</v>
      </c>
      <c r="D86" s="76">
        <f t="shared" ca="1" si="70"/>
        <v>47352</v>
      </c>
      <c r="E86" s="76">
        <f t="shared" ca="1" si="53"/>
        <v>47383</v>
      </c>
      <c r="F86" s="77">
        <f t="shared" ca="1" si="54"/>
        <v>31</v>
      </c>
      <c r="G86" s="78">
        <f ca="1">SUM($F$15:F86)/360</f>
        <v>6.0888888888888886</v>
      </c>
      <c r="H86" s="79">
        <f t="shared" si="56"/>
        <v>25000000</v>
      </c>
      <c r="I86" s="80">
        <f>IF('Cap Pricer'!$E$22=DataValidation!$C$2,'Cap Pricer'!$E$23,IF('Cap Pricer'!$E$22=DataValidation!$C$3,VLOOKUP($B86,'Cap Pricer'!$C$25:$E$31,3),""))</f>
        <v>0.02</v>
      </c>
      <c r="J86" s="81">
        <f>Volatilities_Resets!$E75*0.01</f>
        <v>3.7856600000000004E-2</v>
      </c>
      <c r="K86" s="82">
        <f>IF(I86=L$11,Volatilities_Resets!$AA75,IF(I86&gt;=K$11,IF(I86&lt;L$11,(((Volatilities_Resets!$AA75-Volatilities_Resets!$Y75)/50)*((Calculator!I86-Calculator!K$11)*10000)+Volatilities_Resets!$Y75)),IF(I86&gt;=K$10,IF(I86&lt;L$10,(((Volatilities_Resets!$Y75-Volatilities_Resets!$W75)/50)*((Calculator!I86-Calculator!K$10)*10000)+Volatilities_Resets!$W75)),IF(I86&gt;=K$9,IF(I86&lt;L$9,(((Volatilities_Resets!$W75-Volatilities_Resets!$U75)/50)*((Calculator!I86-Calculator!K$9)*10000)+Volatilities_Resets!$U75)),IF(I86&gt;=K$8,IF(I86&lt;L$8,(((Volatilities_Resets!$U75-Volatilities_Resets!$S75)/50)*((Calculator!I86-Calculator!K$8)*10000)+Volatilities_Resets!$S75)),IF(I86&gt;=K$7,IF(I86&lt;L$7,(((Volatilities_Resets!$S75-Volatilities_Resets!$Q75)/50)*((Calculator!I86-Calculator!K$7)*10000)+Volatilities_Resets!$Q75)),IF(I86&gt;=K$6,IF(I86&lt;L$6,(((Volatilities_Resets!$Q75-Volatilities_Resets!$O75)/50)*((Calculator!I86-Calculator!K$6)*10000)+Volatilities_Resets!$O75)),IF(I86&gt;=K$5,IF(I86&lt;L$5,(((Volatilities_Resets!$O75-Volatilities_Resets!$M75)/50)*((Calculator!I86-Calculator!K$5)*10000)+Volatilities_Resets!$M75)),IF(I86&gt;=K$4,IF(I86&lt;L$4,(((Volatilities_Resets!$M75-Volatilities_Resets!$K75)/50)*((Calculator!I86-Calculator!K$4)*10000)+Volatilities_Resets!$K75)),IF(I86&gt;=K$3,IF(I86&lt;L$3,(((Volatilities_Resets!$K75-Volatilities_Resets!$I75)/50)*((Calculator!I86-Calculator!K$3)*10000)+Volatilities_Resets!$I75)),IF(I86&gt;=K$2,IF(I86&lt;L$2,(((Volatilities_Resets!$I75-Volatilities_Resets!$G75)/50)*((Calculator!I86-Calculator!K$2)*10000)+Volatilities_Resets!$G75)),"Well, something broke...")))))))))))/10000</f>
        <v>1.1031000000000001E-2</v>
      </c>
      <c r="L86" s="83">
        <f t="shared" ca="1" si="71"/>
        <v>36852.178510225669</v>
      </c>
      <c r="M86" s="84">
        <f t="shared" ca="1" si="72"/>
        <v>1.4794058471050558E-3</v>
      </c>
      <c r="N86" s="84">
        <f t="shared" ca="1" si="55"/>
        <v>3315819.6209549117</v>
      </c>
      <c r="O86" s="84">
        <f ca="1">SUM(L75:L86)</f>
        <v>442418.50756814441</v>
      </c>
      <c r="P86" s="49"/>
      <c r="Q86" s="84">
        <f t="shared" ca="1" si="73"/>
        <v>103.25830745402037</v>
      </c>
      <c r="R86" s="84">
        <f ca="1">SUM($Q$15:Q86)</f>
        <v>5307.4474322025208</v>
      </c>
      <c r="T86" s="52">
        <f ca="1">EXP(-AVERAGE(J$15:J86)*G86)</f>
        <v>0.77656703672804017</v>
      </c>
      <c r="U86" s="57"/>
      <c r="V86" s="75">
        <f t="shared" ca="1" si="74"/>
        <v>72</v>
      </c>
      <c r="W86" s="76">
        <f t="shared" ca="1" si="75"/>
        <v>47352</v>
      </c>
      <c r="X86" s="76">
        <f t="shared" ca="1" si="57"/>
        <v>47383</v>
      </c>
      <c r="Y86" s="77">
        <f t="shared" ca="1" si="58"/>
        <v>31</v>
      </c>
      <c r="Z86" s="78">
        <f ca="1">SUM(Y$15:Y86)/360</f>
        <v>6.0888888888888886</v>
      </c>
      <c r="AA86" s="79">
        <f t="shared" si="59"/>
        <v>25000000</v>
      </c>
      <c r="AB86" s="80">
        <f t="shared" si="76"/>
        <v>0.03</v>
      </c>
      <c r="AC86" s="81">
        <f>Volatilities_Resets!$E75*0.01</f>
        <v>3.7856600000000004E-2</v>
      </c>
      <c r="AD86" s="82">
        <f>IF(AB86=AE$11,Volatilities_Resets!$AA75,IF(AB86&gt;=AD$11,IF(AB86&lt;AE$11,(((Volatilities_Resets!$AA75-Volatilities_Resets!$Y75)/50)*((Calculator!AB86-Calculator!AD$11)*10000)+Volatilities_Resets!$Y75)),IF(AB86&gt;=AD$10,IF(AB86&lt;AE$10,(((Volatilities_Resets!$Y75-Volatilities_Resets!$W75)/50)*((Calculator!AB86-Calculator!AD$10)*10000)+Volatilities_Resets!$W75)),IF(AB86&gt;=AD$9,IF(AB86&lt;AE$9,(((Volatilities_Resets!$W75-Volatilities_Resets!$U75)/50)*((Calculator!AB86-Calculator!AD$9)*10000)+Volatilities_Resets!$U75)),IF(AB86&gt;=AD$8,IF(AB86&lt;AE$8,(((Volatilities_Resets!$U75-Volatilities_Resets!$S75)/50)*((Calculator!AB86-Calculator!AD$8)*10000)+Volatilities_Resets!$S75)),IF(AB86&gt;=AD$7,IF(AB86&lt;AE$7,(((Volatilities_Resets!$S75-Volatilities_Resets!$Q75)/50)*((Calculator!AB86-Calculator!AD$7)*10000)+Volatilities_Resets!$Q75)),IF(AB86&gt;=AD$6,IF(AB86&lt;AE$6,(((Volatilities_Resets!$Q75-Volatilities_Resets!$O75)/50)*((Calculator!AB86-Calculator!AD$6)*10000)+Volatilities_Resets!$O75)),IF(AB86&gt;=AD$5,IF(AB86&lt;AE$5,(((Volatilities_Resets!$O75-Volatilities_Resets!$M75)/50)*((Calculator!AB86-Calculator!AD$5)*10000)+Volatilities_Resets!$M75)),IF(AB86&gt;=AD$4,IF(AB86&lt;AE$4,(((Volatilities_Resets!$M75-Volatilities_Resets!$K75)/50)*((Calculator!AB86-Calculator!AD$4)*10000)+Volatilities_Resets!$K75)),IF(AB86&gt;=AD$3,IF(AB86&lt;AE$3,(((Volatilities_Resets!$K75-Volatilities_Resets!$I75)/50)*((Calculator!AB86-Calculator!AD$3)*10000)+Volatilities_Resets!$I75)),IF(AB86&gt;=AD$2,IF(AB86&lt;AE$2,(((Volatilities_Resets!$I75-Volatilities_Resets!$G75)/50)*((Calculator!AB86-Calculator!AD$2)*10000)+Volatilities_Resets!$G75)),"Well, something broke...")))))))))))/10000</f>
        <v>1.1179000000000001E-2</v>
      </c>
      <c r="AE86" s="84">
        <f t="shared" ca="1" si="77"/>
        <v>25705.994329572681</v>
      </c>
      <c r="AF86" s="84">
        <f t="shared" ca="1" si="78"/>
        <v>1.0345632880028564E-3</v>
      </c>
      <c r="AG86" s="84">
        <f t="shared" ca="1" si="97"/>
        <v>2279816.3268971541</v>
      </c>
      <c r="AH86" s="84">
        <f ca="1">SUM(AE75:AE86)</f>
        <v>308019.66052516096</v>
      </c>
      <c r="AI86" s="49"/>
      <c r="AJ86" s="84">
        <f t="shared" ca="1" si="79"/>
        <v>122.76582913584447</v>
      </c>
      <c r="AK86" s="84">
        <f ca="1">SUM($AJ$15:AJ86)</f>
        <v>6452.6652588015049</v>
      </c>
      <c r="AM86" s="52">
        <f ca="1">EXP(-AVERAGE(AC$15:AC86)*Z86)</f>
        <v>0.77656703672804017</v>
      </c>
      <c r="AO86" s="75">
        <f t="shared" ca="1" si="80"/>
        <v>72</v>
      </c>
      <c r="AP86" s="76">
        <f t="shared" ca="1" si="81"/>
        <v>47352</v>
      </c>
      <c r="AQ86" s="76">
        <f t="shared" ca="1" si="60"/>
        <v>47383</v>
      </c>
      <c r="AR86" s="77">
        <f t="shared" ca="1" si="61"/>
        <v>31</v>
      </c>
      <c r="AS86" s="78">
        <f ca="1">SUM(AR$15:AR86)/360</f>
        <v>6.0888888888888886</v>
      </c>
      <c r="AT86" s="79">
        <f t="shared" si="62"/>
        <v>25000000</v>
      </c>
      <c r="AU86" s="80">
        <f t="shared" si="82"/>
        <v>0.04</v>
      </c>
      <c r="AV86" s="81">
        <f>Volatilities_Resets!$E75*0.01</f>
        <v>3.7856600000000004E-2</v>
      </c>
      <c r="AW86" s="82">
        <f>IF(AU86=AX$11,Volatilities_Resets!$AA75,IF(AU86&gt;=AW$11,IF(AU86&lt;AX$11,(((Volatilities_Resets!$AA75-Volatilities_Resets!$Y75)/50)*((Calculator!AU86-Calculator!AW$11)*10000)+Volatilities_Resets!$Y75)),IF(AU86&gt;=AW$10,IF(AU86&lt;AX$10,(((Volatilities_Resets!$Y75-Volatilities_Resets!$W75)/50)*((Calculator!AU86-Calculator!AW$10)*10000)+Volatilities_Resets!$W75)),IF(AU86&gt;=AW$9,IF(AU86&lt;AX$9,(((Volatilities_Resets!$W75-Volatilities_Resets!$U75)/50)*((Calculator!AU86-Calculator!AW$9)*10000)+Volatilities_Resets!$U75)),IF(AU86&gt;=AW$8,IF(AU86&lt;AX$8,(((Volatilities_Resets!$U75-Volatilities_Resets!$S75)/50)*((Calculator!AU86-Calculator!AW$8)*10000)+Volatilities_Resets!$S75)),IF(AU86&gt;=AW$7,IF(AU86&lt;AX$7,(((Volatilities_Resets!$S75-Volatilities_Resets!$Q75)/50)*((Calculator!AU86-Calculator!AW$7)*10000)+Volatilities_Resets!$Q75)),IF(AU86&gt;=AW$6,IF(AU86&lt;AX$6,(((Volatilities_Resets!$Q75-Volatilities_Resets!$O75)/50)*((Calculator!AU86-Calculator!AW$6)*10000)+Volatilities_Resets!$O75)),IF(AU86&gt;=AW$5,IF(AU86&lt;AX$5,(((Volatilities_Resets!$O75-Volatilities_Resets!$M75)/50)*((Calculator!AU86-Calculator!AW$5)*10000)+Volatilities_Resets!$M75)),IF(AU86&gt;=AW$4,IF(AU86&lt;AX$4,(((Volatilities_Resets!$M75-Volatilities_Resets!$K75)/50)*((Calculator!AU86-Calculator!AW$4)*10000)+Volatilities_Resets!$K75)),IF(AU86&gt;=AW$3,IF(AU86&lt;AX$3,(((Volatilities_Resets!$K75-Volatilities_Resets!$I75)/50)*((Calculator!AU86-Calculator!AW$3)*10000)+Volatilities_Resets!$I75)),IF(AU86&gt;=AW$2,IF(AU86&lt;AX$2,(((Volatilities_Resets!$I75-Volatilities_Resets!$G75)/50)*((Calculator!AU86-Calculator!AW$2)*10000)+Volatilities_Resets!$G75)),"Well, something broke...")))))))))))/10000</f>
        <v>1.1585E-2</v>
      </c>
      <c r="AX86" s="84">
        <f t="shared" ca="1" si="83"/>
        <v>17327.647383577903</v>
      </c>
      <c r="AY86" s="84">
        <f t="shared" ca="1" si="84"/>
        <v>6.9967047498568739E-4</v>
      </c>
      <c r="AZ86" s="84">
        <f t="shared" ca="1" si="98"/>
        <v>1392456.3312132643</v>
      </c>
      <c r="BA86" s="84">
        <f ca="1">SUM(AX75:AX86)</f>
        <v>206960.92324850842</v>
      </c>
      <c r="BB86" s="49"/>
      <c r="BC86" s="84">
        <f t="shared" ca="1" si="63"/>
        <v>127.44590400991976</v>
      </c>
      <c r="BD86" s="84">
        <f ca="1">SUM($BC$15:BC86)</f>
        <v>6944.7483490587592</v>
      </c>
      <c r="BF86" s="52">
        <f ca="1">EXP(-AVERAGE(AV$15:AV86)*AS86)</f>
        <v>0.77656703672804017</v>
      </c>
      <c r="BH86" s="75">
        <f t="shared" ca="1" si="85"/>
        <v>72</v>
      </c>
      <c r="BI86" s="76">
        <f t="shared" ca="1" si="86"/>
        <v>47352</v>
      </c>
      <c r="BJ86" s="76">
        <f t="shared" ca="1" si="64"/>
        <v>47383</v>
      </c>
      <c r="BK86" s="77">
        <f t="shared" ca="1" si="65"/>
        <v>31</v>
      </c>
      <c r="BL86" s="78">
        <f ca="1">SUM(BK$15:BK86)/360</f>
        <v>6.0888888888888886</v>
      </c>
      <c r="BM86" s="79">
        <f t="shared" si="66"/>
        <v>25000000</v>
      </c>
      <c r="BN86" s="80">
        <f t="shared" si="87"/>
        <v>0.05</v>
      </c>
      <c r="BO86" s="81">
        <f>Volatilities_Resets!$E75*0.01</f>
        <v>3.7856600000000004E-2</v>
      </c>
      <c r="BP86" s="82">
        <f>IF(BN86=BQ$11,Volatilities_Resets!$AA75,IF(BN86&gt;=BP$11,IF(BN86&lt;BQ$11,(((Volatilities_Resets!$AA75-Volatilities_Resets!$Y75)/50)*((Calculator!BN86-Calculator!BP$11)*10000)+Volatilities_Resets!$Y75)),IF(BN86&gt;=BP$10,IF(BN86&lt;BQ$10,(((Volatilities_Resets!$Y75-Volatilities_Resets!$W75)/50)*((Calculator!BN86-Calculator!BP$10)*10000)+Volatilities_Resets!$W75)),IF(BN86&gt;=BP$9,IF(BN86&lt;BQ$9,(((Volatilities_Resets!$W75-Volatilities_Resets!$U75)/50)*((Calculator!BN86-Calculator!BP$9)*10000)+Volatilities_Resets!$U75)),IF(BN86&gt;=BP$8,IF(BN86&lt;BQ$8,(((Volatilities_Resets!$U75-Volatilities_Resets!$S75)/50)*((Calculator!BN86-Calculator!BP$8)*10000)+Volatilities_Resets!$S75)),IF(BN86&gt;=BP$7,IF(BN86&lt;BQ$7,(((Volatilities_Resets!$S75-Volatilities_Resets!$Q75)/50)*((Calculator!BN86-Calculator!BP$7)*10000)+Volatilities_Resets!$Q75)),IF(BN86&gt;=BP$6,IF(BN86&lt;BQ$6,(((Volatilities_Resets!$Q75-Volatilities_Resets!$O75)/50)*((Calculator!BN86-Calculator!BP$6)*10000)+Volatilities_Resets!$O75)),IF(BN86&gt;=BP$5,IF(BN86&lt;BQ$5,(((Volatilities_Resets!$O75-Volatilities_Resets!$M75)/50)*((Calculator!BN86-Calculator!BP$5)*10000)+Volatilities_Resets!$M75)),IF(BN86&gt;=BP$4,IF(BN86&lt;BQ$4,(((Volatilities_Resets!$M75-Volatilities_Resets!$K75)/50)*((Calculator!BN86-Calculator!BP$4)*10000)+Volatilities_Resets!$K75)),IF(BN86&gt;=BP$3,IF(BN86&lt;BQ$3,(((Volatilities_Resets!$K75-Volatilities_Resets!$I75)/50)*((Calculator!BN86-Calculator!BP$3)*10000)+Volatilities_Resets!$I75)),IF(BN86&gt;=BP$2,IF(BN86&lt;BQ$2,(((Volatilities_Resets!$I75-Volatilities_Resets!$G75)/50)*((Calculator!BN86-Calculator!BP$2)*10000)+Volatilities_Resets!$G75)),"Well, something broke...")))))))))))/10000</f>
        <v>1.2237999999999999E-2</v>
      </c>
      <c r="BQ86" s="84">
        <f t="shared" ca="1" si="88"/>
        <v>11596.65764214224</v>
      </c>
      <c r="BR86" s="84">
        <f t="shared" ca="1" si="89"/>
        <v>4.699418922662073E-4</v>
      </c>
      <c r="BS86" s="84">
        <f t="shared" ca="1" si="99"/>
        <v>723174.03975779796</v>
      </c>
      <c r="BT86" s="84">
        <f ca="1">SUM(BQ75:BQ86)</f>
        <v>138151.61401866423</v>
      </c>
      <c r="BU86" s="49"/>
      <c r="BV86" s="84">
        <f t="shared" ca="1" si="90"/>
        <v>117.95250668043175</v>
      </c>
      <c r="BW86" s="84">
        <f ca="1">SUM($BV$15:BV86)</f>
        <v>6683.9292674441194</v>
      </c>
      <c r="BY86" s="52">
        <f ca="1">EXP(-AVERAGE(BO$15:BO86)*BL86)</f>
        <v>0.77656703672804017</v>
      </c>
      <c r="CA86" s="75">
        <f t="shared" ca="1" si="91"/>
        <v>72</v>
      </c>
      <c r="CB86" s="76">
        <f t="shared" ca="1" si="92"/>
        <v>47352</v>
      </c>
      <c r="CC86" s="76">
        <f t="shared" ca="1" si="67"/>
        <v>47383</v>
      </c>
      <c r="CD86" s="77">
        <f t="shared" ca="1" si="68"/>
        <v>31</v>
      </c>
      <c r="CE86" s="78">
        <f ca="1">SUM(CD$15:CD86)/360</f>
        <v>6.0888888888888886</v>
      </c>
      <c r="CF86" s="79">
        <f t="shared" si="69"/>
        <v>25000000</v>
      </c>
      <c r="CG86" s="80">
        <f t="shared" si="93"/>
        <v>0.06</v>
      </c>
      <c r="CH86" s="81">
        <f>Volatilities_Resets!$E75*0.01</f>
        <v>3.7856600000000004E-2</v>
      </c>
      <c r="CI86" s="82">
        <f>IF(CG86=CJ$11,Volatilities_Resets!$AA75,IF(CG86&gt;=CI$11,IF(CG86&lt;CJ$11,(((Volatilities_Resets!$AA75-Volatilities_Resets!$Y75)/50)*((Calculator!CG86-Calculator!CI$11)*10000)+Volatilities_Resets!$Y75)),IF(CG86&gt;=CI$10,IF(CG86&lt;CJ$10,(((Volatilities_Resets!$Y75-Volatilities_Resets!$W75)/50)*((Calculator!CG86-Calculator!CI$10)*10000)+Volatilities_Resets!$W75)),IF(CG86&gt;=CI$9,IF(CG86&lt;CJ$9,(((Volatilities_Resets!$W75-Volatilities_Resets!$U75)/50)*((Calculator!CG86-Calculator!CI$9)*10000)+Volatilities_Resets!$U75)),IF(CG86&gt;=CI$8,IF(CG86&lt;CJ$8,(((Volatilities_Resets!$U75-Volatilities_Resets!$S75)/50)*((Calculator!CG86-Calculator!CI$8)*10000)+Volatilities_Resets!$S75)),IF(CG86&gt;=CI$7,IF(CG86&lt;CJ$7,(((Volatilities_Resets!$S75-Volatilities_Resets!$Q75)/50)*((Calculator!CG86-Calculator!CI$7)*10000)+Volatilities_Resets!$Q75)),IF(CG86&gt;=CI$6,IF(CG86&lt;CJ$6,(((Volatilities_Resets!$Q75-Volatilities_Resets!$O75)/50)*((Calculator!CG86-Calculator!CI$6)*10000)+Volatilities_Resets!$O75)),IF(CG86&gt;=CI$5,IF(CG86&lt;CJ$5,(((Volatilities_Resets!$O75-Volatilities_Resets!$M75)/50)*((Calculator!CG86-Calculator!CI$5)*10000)+Volatilities_Resets!$M75)),IF(CG86&gt;=CI$4,IF(CG86&lt;CJ$4,(((Volatilities_Resets!$M75-Volatilities_Resets!$K75)/50)*((Calculator!CG86-Calculator!CI$4)*10000)+Volatilities_Resets!$K75)),IF(CG86&gt;=CI$3,IF(CG86&lt;CJ$3,(((Volatilities_Resets!$K75-Volatilities_Resets!$I75)/50)*((Calculator!CG86-Calculator!CI$3)*10000)+Volatilities_Resets!$I75)),IF(CG86&gt;=CI$2,IF(CG86&lt;CJ$2,(((Volatilities_Resets!$I75-Volatilities_Resets!$G75)/50)*((Calculator!CG86-Calculator!CI$2)*10000)+Volatilities_Resets!$G75)),"Well, something broke...")))))))))))/10000</f>
        <v>1.3078999999999999E-2</v>
      </c>
      <c r="CJ86" s="84">
        <f t="shared" ca="1" si="94"/>
        <v>7891.6951408670093</v>
      </c>
      <c r="CK86" s="84">
        <f t="shared" ca="1" si="95"/>
        <v>3.2087937399798388E-4</v>
      </c>
      <c r="CL86" s="84">
        <f t="shared" ca="1" si="100"/>
        <v>364719.72107619036</v>
      </c>
      <c r="CM86" s="84">
        <f ca="1">SUM(CJ75:CJ86)</f>
        <v>93986.69012014239</v>
      </c>
      <c r="CN86" s="49"/>
      <c r="CO86" s="84">
        <f t="shared" ca="1" si="96"/>
        <v>101.17830501490501</v>
      </c>
      <c r="CP86" s="84">
        <f ca="1">SUM($CO$15:CO86)</f>
        <v>5235.8583284159622</v>
      </c>
      <c r="CR86" s="52">
        <f ca="1">EXP(-AVERAGE(CH$15:CH86)*CE86)</f>
        <v>0.77656703672804017</v>
      </c>
      <c r="CT86"/>
      <c r="CU86"/>
      <c r="CV86"/>
      <c r="CW86"/>
      <c r="CX86"/>
      <c r="CY86"/>
      <c r="CZ86"/>
      <c r="DA86"/>
      <c r="DB86"/>
      <c r="DC86"/>
      <c r="DD86"/>
      <c r="DE86"/>
      <c r="DF86"/>
      <c r="DG86"/>
      <c r="DH86"/>
      <c r="DI86"/>
      <c r="DJ86"/>
      <c r="DK86"/>
      <c r="DL86"/>
    </row>
    <row r="87" spans="2:116" ht="15.75" customHeight="1" x14ac:dyDescent="0.2">
      <c r="B87" s="52">
        <v>7</v>
      </c>
      <c r="C87" s="52">
        <f t="shared" ca="1" si="52"/>
        <v>73</v>
      </c>
      <c r="D87" s="71">
        <f t="shared" ca="1" si="70"/>
        <v>47383</v>
      </c>
      <c r="E87" s="71">
        <f t="shared" ca="1" si="53"/>
        <v>47413</v>
      </c>
      <c r="F87" s="72">
        <f t="shared" ca="1" si="54"/>
        <v>30</v>
      </c>
      <c r="G87" s="73">
        <f ca="1">SUM($F$15:F87)/360</f>
        <v>6.1722222222222225</v>
      </c>
      <c r="H87" s="74">
        <f t="shared" si="56"/>
        <v>25000000</v>
      </c>
      <c r="I87" s="59">
        <f>IF('Cap Pricer'!$E$22=DataValidation!$C$2,'Cap Pricer'!$E$23,IF('Cap Pricer'!$E$22=DataValidation!$C$3,VLOOKUP($B87,'Cap Pricer'!$C$25:$E$31,3),""))</f>
        <v>0.02</v>
      </c>
      <c r="J87" s="57">
        <f>Volatilities_Resets!$E76*0.01</f>
        <v>3.7944600000000002E-2</v>
      </c>
      <c r="K87" s="61">
        <f>IF(I87=L$11,Volatilities_Resets!$AA76,IF(I87&gt;=K$11,IF(I87&lt;L$11,(((Volatilities_Resets!$AA76-Volatilities_Resets!$Y76)/50)*((Calculator!I87-Calculator!K$11)*10000)+Volatilities_Resets!$Y76)),IF(I87&gt;=K$10,IF(I87&lt;L$10,(((Volatilities_Resets!$Y76-Volatilities_Resets!$W76)/50)*((Calculator!I87-Calculator!K$10)*10000)+Volatilities_Resets!$W76)),IF(I87&gt;=K$9,IF(I87&lt;L$9,(((Volatilities_Resets!$W76-Volatilities_Resets!$U76)/50)*((Calculator!I87-Calculator!K$9)*10000)+Volatilities_Resets!$U76)),IF(I87&gt;=K$8,IF(I87&lt;L$8,(((Volatilities_Resets!$U76-Volatilities_Resets!$S76)/50)*((Calculator!I87-Calculator!K$8)*10000)+Volatilities_Resets!$S76)),IF(I87&gt;=K$7,IF(I87&lt;L$7,(((Volatilities_Resets!$S76-Volatilities_Resets!$Q76)/50)*((Calculator!I87-Calculator!K$7)*10000)+Volatilities_Resets!$Q76)),IF(I87&gt;=K$6,IF(I87&lt;L$6,(((Volatilities_Resets!$Q76-Volatilities_Resets!$O76)/50)*((Calculator!I87-Calculator!K$6)*10000)+Volatilities_Resets!$O76)),IF(I87&gt;=K$5,IF(I87&lt;L$5,(((Volatilities_Resets!$O76-Volatilities_Resets!$M76)/50)*((Calculator!I87-Calculator!K$5)*10000)+Volatilities_Resets!$M76)),IF(I87&gt;=K$4,IF(I87&lt;L$4,(((Volatilities_Resets!$M76-Volatilities_Resets!$K76)/50)*((Calculator!I87-Calculator!K$4)*10000)+Volatilities_Resets!$K76)),IF(I87&gt;=K$3,IF(I87&lt;L$3,(((Volatilities_Resets!$K76-Volatilities_Resets!$I76)/50)*((Calculator!I87-Calculator!K$3)*10000)+Volatilities_Resets!$I76)),IF(I87&gt;=K$2,IF(I87&lt;L$2,(((Volatilities_Resets!$I76-Volatilities_Resets!$G76)/50)*((Calculator!I87-Calculator!K$2)*10000)+Volatilities_Resets!$G76)),"Well, something broke...")))))))))))/10000</f>
        <v>1.0732999999999999E-2</v>
      </c>
      <c r="L87" s="47">
        <f t="shared" ca="1" si="71"/>
        <v>35370.741066071365</v>
      </c>
      <c r="M87" s="63">
        <f t="shared" ca="1" si="72"/>
        <v>1.4199384969160738E-3</v>
      </c>
      <c r="N87" s="63">
        <f t="shared" ca="1" si="55"/>
        <v>3351190.3620209829</v>
      </c>
      <c r="Q87" s="63">
        <f t="shared" ca="1" si="73"/>
        <v>98.871497207912526</v>
      </c>
      <c r="R87" s="63">
        <f ca="1">SUM($Q$15:Q87)</f>
        <v>5406.3189294104332</v>
      </c>
      <c r="T87" s="52">
        <f ca="1">EXP(-AVERAGE(J$15:J87)*G87)</f>
        <v>0.77411875086122939</v>
      </c>
      <c r="U87" s="57"/>
      <c r="V87" s="52">
        <f t="shared" ca="1" si="74"/>
        <v>73</v>
      </c>
      <c r="W87" s="71">
        <f t="shared" ca="1" si="75"/>
        <v>47383</v>
      </c>
      <c r="X87" s="71">
        <f t="shared" ca="1" si="57"/>
        <v>47413</v>
      </c>
      <c r="Y87" s="72">
        <f t="shared" ca="1" si="58"/>
        <v>30</v>
      </c>
      <c r="Z87" s="73">
        <f ca="1">SUM(Y$15:Y87)/360</f>
        <v>6.1722222222222225</v>
      </c>
      <c r="AA87" s="74">
        <f t="shared" si="59"/>
        <v>25000000</v>
      </c>
      <c r="AB87" s="59">
        <f t="shared" si="76"/>
        <v>0.03</v>
      </c>
      <c r="AC87" s="57">
        <f>Volatilities_Resets!$E76*0.01</f>
        <v>3.7944600000000002E-2</v>
      </c>
      <c r="AD87" s="61">
        <f>IF(AB87=AE$11,Volatilities_Resets!$AA76,IF(AB87&gt;=AD$11,IF(AB87&lt;AE$11,(((Volatilities_Resets!$AA76-Volatilities_Resets!$Y76)/50)*((Calculator!AB87-Calculator!AD$11)*10000)+Volatilities_Resets!$Y76)),IF(AB87&gt;=AD$10,IF(AB87&lt;AE$10,(((Volatilities_Resets!$Y76-Volatilities_Resets!$W76)/50)*((Calculator!AB87-Calculator!AD$10)*10000)+Volatilities_Resets!$W76)),IF(AB87&gt;=AD$9,IF(AB87&lt;AE$9,(((Volatilities_Resets!$W76-Volatilities_Resets!$U76)/50)*((Calculator!AB87-Calculator!AD$9)*10000)+Volatilities_Resets!$U76)),IF(AB87&gt;=AD$8,IF(AB87&lt;AE$8,(((Volatilities_Resets!$U76-Volatilities_Resets!$S76)/50)*((Calculator!AB87-Calculator!AD$8)*10000)+Volatilities_Resets!$S76)),IF(AB87&gt;=AD$7,IF(AB87&lt;AE$7,(((Volatilities_Resets!$S76-Volatilities_Resets!$Q76)/50)*((Calculator!AB87-Calculator!AD$7)*10000)+Volatilities_Resets!$Q76)),IF(AB87&gt;=AD$6,IF(AB87&lt;AE$6,(((Volatilities_Resets!$Q76-Volatilities_Resets!$O76)/50)*((Calculator!AB87-Calculator!AD$6)*10000)+Volatilities_Resets!$O76)),IF(AB87&gt;=AD$5,IF(AB87&lt;AE$5,(((Volatilities_Resets!$O76-Volatilities_Resets!$M76)/50)*((Calculator!AB87-Calculator!AD$5)*10000)+Volatilities_Resets!$M76)),IF(AB87&gt;=AD$4,IF(AB87&lt;AE$4,(((Volatilities_Resets!$M76-Volatilities_Resets!$K76)/50)*((Calculator!AB87-Calculator!AD$4)*10000)+Volatilities_Resets!$K76)),IF(AB87&gt;=AD$3,IF(AB87&lt;AE$3,(((Volatilities_Resets!$K76-Volatilities_Resets!$I76)/50)*((Calculator!AB87-Calculator!AD$3)*10000)+Volatilities_Resets!$I76)),IF(AB87&gt;=AD$2,IF(AB87&lt;AE$2,(((Volatilities_Resets!$I76-Volatilities_Resets!$G76)/50)*((Calculator!AB87-Calculator!AD$2)*10000)+Volatilities_Resets!$G76)),"Well, something broke...")))))))))))/10000</f>
        <v>1.091E-2</v>
      </c>
      <c r="AE87" s="63">
        <f t="shared" ca="1" si="77"/>
        <v>24589.122688218245</v>
      </c>
      <c r="AF87" s="63">
        <f t="shared" ca="1" si="78"/>
        <v>9.8969223536587688E-4</v>
      </c>
      <c r="AG87" s="63">
        <f t="shared" ca="1" si="97"/>
        <v>2304405.4495853721</v>
      </c>
      <c r="AJ87" s="63">
        <f t="shared" ca="1" si="79"/>
        <v>118.58198428523792</v>
      </c>
      <c r="AK87" s="63">
        <f ca="1">SUM($AJ$15:AJ87)</f>
        <v>6571.2472430867429</v>
      </c>
      <c r="AM87" s="52">
        <f ca="1">EXP(-AVERAGE(AC$15:AC87)*Z87)</f>
        <v>0.77411875086122939</v>
      </c>
      <c r="AO87" s="52">
        <f t="shared" ca="1" si="80"/>
        <v>73</v>
      </c>
      <c r="AP87" s="71">
        <f t="shared" ca="1" si="81"/>
        <v>47383</v>
      </c>
      <c r="AQ87" s="71">
        <f t="shared" ca="1" si="60"/>
        <v>47413</v>
      </c>
      <c r="AR87" s="72">
        <f t="shared" ca="1" si="61"/>
        <v>30</v>
      </c>
      <c r="AS87" s="73">
        <f ca="1">SUM(AR$15:AR87)/360</f>
        <v>6.1722222222222225</v>
      </c>
      <c r="AT87" s="74">
        <f t="shared" si="62"/>
        <v>25000000</v>
      </c>
      <c r="AU87" s="59">
        <f t="shared" si="82"/>
        <v>0.04</v>
      </c>
      <c r="AV87" s="57">
        <f>Volatilities_Resets!$E76*0.01</f>
        <v>3.7944600000000002E-2</v>
      </c>
      <c r="AW87" s="61">
        <f>IF(AU87=AX$11,Volatilities_Resets!$AA76,IF(AU87&gt;=AW$11,IF(AU87&lt;AX$11,(((Volatilities_Resets!$AA76-Volatilities_Resets!$Y76)/50)*((Calculator!AU87-Calculator!AW$11)*10000)+Volatilities_Resets!$Y76)),IF(AU87&gt;=AW$10,IF(AU87&lt;AX$10,(((Volatilities_Resets!$Y76-Volatilities_Resets!$W76)/50)*((Calculator!AU87-Calculator!AW$10)*10000)+Volatilities_Resets!$W76)),IF(AU87&gt;=AW$9,IF(AU87&lt;AX$9,(((Volatilities_Resets!$W76-Volatilities_Resets!$U76)/50)*((Calculator!AU87-Calculator!AW$9)*10000)+Volatilities_Resets!$U76)),IF(AU87&gt;=AW$8,IF(AU87&lt;AX$8,(((Volatilities_Resets!$U76-Volatilities_Resets!$S76)/50)*((Calculator!AU87-Calculator!AW$8)*10000)+Volatilities_Resets!$S76)),IF(AU87&gt;=AW$7,IF(AU87&lt;AX$7,(((Volatilities_Resets!$S76-Volatilities_Resets!$Q76)/50)*((Calculator!AU87-Calculator!AW$7)*10000)+Volatilities_Resets!$Q76)),IF(AU87&gt;=AW$6,IF(AU87&lt;AX$6,(((Volatilities_Resets!$Q76-Volatilities_Resets!$O76)/50)*((Calculator!AU87-Calculator!AW$6)*10000)+Volatilities_Resets!$O76)),IF(AU87&gt;=AW$5,IF(AU87&lt;AX$5,(((Volatilities_Resets!$O76-Volatilities_Resets!$M76)/50)*((Calculator!AU87-Calculator!AW$5)*10000)+Volatilities_Resets!$M76)),IF(AU87&gt;=AW$4,IF(AU87&lt;AX$4,(((Volatilities_Resets!$M76-Volatilities_Resets!$K76)/50)*((Calculator!AU87-Calculator!AW$4)*10000)+Volatilities_Resets!$K76)),IF(AU87&gt;=AW$3,IF(AU87&lt;AX$3,(((Volatilities_Resets!$K76-Volatilities_Resets!$I76)/50)*((Calculator!AU87-Calculator!AW$3)*10000)+Volatilities_Resets!$I76)),IF(AU87&gt;=AW$2,IF(AU87&lt;AX$2,(((Volatilities_Resets!$I76-Volatilities_Resets!$G76)/50)*((Calculator!AU87-Calculator!AW$2)*10000)+Volatilities_Resets!$G76)),"Well, something broke...")))))))))))/10000</f>
        <v>1.133E-2</v>
      </c>
      <c r="AX87" s="63">
        <f t="shared" ca="1" si="83"/>
        <v>16501.201204728983</v>
      </c>
      <c r="AY87" s="63">
        <f t="shared" ca="1" si="84"/>
        <v>6.6642494635052072E-4</v>
      </c>
      <c r="AZ87" s="63">
        <f t="shared" ca="1" si="98"/>
        <v>1408957.5324179933</v>
      </c>
      <c r="BC87" s="63">
        <f t="shared" ca="1" si="63"/>
        <v>123.41191097605815</v>
      </c>
      <c r="BD87" s="63">
        <f ca="1">SUM($BC$15:BC87)</f>
        <v>7068.1602600348178</v>
      </c>
      <c r="BF87" s="52">
        <f ca="1">EXP(-AVERAGE(AV$15:AV87)*AS87)</f>
        <v>0.77411875086122939</v>
      </c>
      <c r="BH87" s="52">
        <f t="shared" ca="1" si="85"/>
        <v>73</v>
      </c>
      <c r="BI87" s="71">
        <f t="shared" ca="1" si="86"/>
        <v>47383</v>
      </c>
      <c r="BJ87" s="71">
        <f t="shared" ca="1" si="64"/>
        <v>47413</v>
      </c>
      <c r="BK87" s="72">
        <f t="shared" ca="1" si="65"/>
        <v>30</v>
      </c>
      <c r="BL87" s="73">
        <f ca="1">SUM(BK$15:BK87)/360</f>
        <v>6.1722222222222225</v>
      </c>
      <c r="BM87" s="74">
        <f t="shared" si="66"/>
        <v>25000000</v>
      </c>
      <c r="BN87" s="59">
        <f t="shared" si="87"/>
        <v>0.05</v>
      </c>
      <c r="BO87" s="57">
        <f>Volatilities_Resets!$E76*0.01</f>
        <v>3.7944600000000002E-2</v>
      </c>
      <c r="BP87" s="61">
        <f>IF(BN87=BQ$11,Volatilities_Resets!$AA76,IF(BN87&gt;=BP$11,IF(BN87&lt;BQ$11,(((Volatilities_Resets!$AA76-Volatilities_Resets!$Y76)/50)*((Calculator!BN87-Calculator!BP$11)*10000)+Volatilities_Resets!$Y76)),IF(BN87&gt;=BP$10,IF(BN87&lt;BQ$10,(((Volatilities_Resets!$Y76-Volatilities_Resets!$W76)/50)*((Calculator!BN87-Calculator!BP$10)*10000)+Volatilities_Resets!$W76)),IF(BN87&gt;=BP$9,IF(BN87&lt;BQ$9,(((Volatilities_Resets!$W76-Volatilities_Resets!$U76)/50)*((Calculator!BN87-Calculator!BP$9)*10000)+Volatilities_Resets!$U76)),IF(BN87&gt;=BP$8,IF(BN87&lt;BQ$8,(((Volatilities_Resets!$U76-Volatilities_Resets!$S76)/50)*((Calculator!BN87-Calculator!BP$8)*10000)+Volatilities_Resets!$S76)),IF(BN87&gt;=BP$7,IF(BN87&lt;BQ$7,(((Volatilities_Resets!$S76-Volatilities_Resets!$Q76)/50)*((Calculator!BN87-Calculator!BP$7)*10000)+Volatilities_Resets!$Q76)),IF(BN87&gt;=BP$6,IF(BN87&lt;BQ$6,(((Volatilities_Resets!$Q76-Volatilities_Resets!$O76)/50)*((Calculator!BN87-Calculator!BP$6)*10000)+Volatilities_Resets!$O76)),IF(BN87&gt;=BP$5,IF(BN87&lt;BQ$5,(((Volatilities_Resets!$O76-Volatilities_Resets!$M76)/50)*((Calculator!BN87-Calculator!BP$5)*10000)+Volatilities_Resets!$M76)),IF(BN87&gt;=BP$4,IF(BN87&lt;BQ$4,(((Volatilities_Resets!$M76-Volatilities_Resets!$K76)/50)*((Calculator!BN87-Calculator!BP$4)*10000)+Volatilities_Resets!$K76)),IF(BN87&gt;=BP$3,IF(BN87&lt;BQ$3,(((Volatilities_Resets!$K76-Volatilities_Resets!$I76)/50)*((Calculator!BN87-Calculator!BP$3)*10000)+Volatilities_Resets!$I76)),IF(BN87&gt;=BP$2,IF(BN87&lt;BQ$2,(((Volatilities_Resets!$I76-Volatilities_Resets!$G76)/50)*((Calculator!BN87-Calculator!BP$2)*10000)+Volatilities_Resets!$G76)),"Well, something broke...")))))))))))/10000</f>
        <v>1.1977E-2</v>
      </c>
      <c r="BQ87" s="63">
        <f t="shared" ca="1" si="88"/>
        <v>10973.485193332299</v>
      </c>
      <c r="BR87" s="63">
        <f t="shared" ca="1" si="89"/>
        <v>4.4483339084894777E-4</v>
      </c>
      <c r="BS87" s="63">
        <f t="shared" ca="1" si="99"/>
        <v>734147.52495113027</v>
      </c>
      <c r="BV87" s="63">
        <f t="shared" ca="1" si="90"/>
        <v>114.06607117721634</v>
      </c>
      <c r="BW87" s="63">
        <f ca="1">SUM($BV$15:BV87)</f>
        <v>6797.9953386213356</v>
      </c>
      <c r="BY87" s="52">
        <f ca="1">EXP(-AVERAGE(BO$15:BO87)*BL87)</f>
        <v>0.77411875086122939</v>
      </c>
      <c r="CA87" s="52">
        <f t="shared" ca="1" si="91"/>
        <v>73</v>
      </c>
      <c r="CB87" s="71">
        <f t="shared" ca="1" si="92"/>
        <v>47383</v>
      </c>
      <c r="CC87" s="71">
        <f t="shared" ca="1" si="67"/>
        <v>47413</v>
      </c>
      <c r="CD87" s="72">
        <f t="shared" ca="1" si="68"/>
        <v>30</v>
      </c>
      <c r="CE87" s="73">
        <f ca="1">SUM(CD$15:CD87)/360</f>
        <v>6.1722222222222225</v>
      </c>
      <c r="CF87" s="74">
        <f t="shared" si="69"/>
        <v>25000000</v>
      </c>
      <c r="CG87" s="59">
        <f t="shared" si="93"/>
        <v>0.06</v>
      </c>
      <c r="CH87" s="57">
        <f>Volatilities_Resets!$E76*0.01</f>
        <v>3.7944600000000002E-2</v>
      </c>
      <c r="CI87" s="61">
        <f>IF(CG87=CJ$11,Volatilities_Resets!$AA76,IF(CG87&gt;=CI$11,IF(CG87&lt;CJ$11,(((Volatilities_Resets!$AA76-Volatilities_Resets!$Y76)/50)*((Calculator!CG87-Calculator!CI$11)*10000)+Volatilities_Resets!$Y76)),IF(CG87&gt;=CI$10,IF(CG87&lt;CJ$10,(((Volatilities_Resets!$Y76-Volatilities_Resets!$W76)/50)*((Calculator!CG87-Calculator!CI$10)*10000)+Volatilities_Resets!$W76)),IF(CG87&gt;=CI$9,IF(CG87&lt;CJ$9,(((Volatilities_Resets!$W76-Volatilities_Resets!$U76)/50)*((Calculator!CG87-Calculator!CI$9)*10000)+Volatilities_Resets!$U76)),IF(CG87&gt;=CI$8,IF(CG87&lt;CJ$8,(((Volatilities_Resets!$U76-Volatilities_Resets!$S76)/50)*((Calculator!CG87-Calculator!CI$8)*10000)+Volatilities_Resets!$S76)),IF(CG87&gt;=CI$7,IF(CG87&lt;CJ$7,(((Volatilities_Resets!$S76-Volatilities_Resets!$Q76)/50)*((Calculator!CG87-Calculator!CI$7)*10000)+Volatilities_Resets!$Q76)),IF(CG87&gt;=CI$6,IF(CG87&lt;CJ$6,(((Volatilities_Resets!$Q76-Volatilities_Resets!$O76)/50)*((Calculator!CG87-Calculator!CI$6)*10000)+Volatilities_Resets!$O76)),IF(CG87&gt;=CI$5,IF(CG87&lt;CJ$5,(((Volatilities_Resets!$O76-Volatilities_Resets!$M76)/50)*((Calculator!CG87-Calculator!CI$5)*10000)+Volatilities_Resets!$M76)),IF(CG87&gt;=CI$4,IF(CG87&lt;CJ$4,(((Volatilities_Resets!$M76-Volatilities_Resets!$K76)/50)*((Calculator!CG87-Calculator!CI$4)*10000)+Volatilities_Resets!$K76)),IF(CG87&gt;=CI$3,IF(CG87&lt;CJ$3,(((Volatilities_Resets!$K76-Volatilities_Resets!$I76)/50)*((Calculator!CG87-Calculator!CI$3)*10000)+Volatilities_Resets!$I76)),IF(CG87&gt;=CI$2,IF(CG87&lt;CJ$2,(((Volatilities_Resets!$I76-Volatilities_Resets!$G76)/50)*((Calculator!CG87-Calculator!CI$2)*10000)+Volatilities_Resets!$G76)),"Well, something broke...")))))))))))/10000</f>
        <v>1.2795000000000001E-2</v>
      </c>
      <c r="CJ87" s="63">
        <f t="shared" ca="1" si="94"/>
        <v>7401.6447992565727</v>
      </c>
      <c r="CK87" s="63">
        <f t="shared" ca="1" si="95"/>
        <v>3.0110118085772795E-4</v>
      </c>
      <c r="CL87" s="63">
        <f t="shared" ca="1" si="100"/>
        <v>372121.36587544694</v>
      </c>
      <c r="CO87" s="63">
        <f t="shared" ca="1" si="96"/>
        <v>97.44972389162416</v>
      </c>
      <c r="CP87" s="63">
        <f ca="1">SUM($CO$15:CO87)</f>
        <v>5333.308052307586</v>
      </c>
      <c r="CR87" s="52">
        <f ca="1">EXP(-AVERAGE(CH$15:CH87)*CE87)</f>
        <v>0.77411875086122939</v>
      </c>
      <c r="CT87"/>
      <c r="CU87"/>
      <c r="CV87"/>
      <c r="CW87"/>
      <c r="CX87"/>
      <c r="CY87"/>
      <c r="CZ87"/>
      <c r="DA87"/>
      <c r="DB87"/>
      <c r="DC87"/>
      <c r="DD87"/>
      <c r="DE87"/>
      <c r="DF87"/>
      <c r="DG87"/>
      <c r="DH87"/>
      <c r="DI87"/>
      <c r="DJ87"/>
      <c r="DK87"/>
      <c r="DL87"/>
    </row>
    <row r="88" spans="2:116" ht="15.75" customHeight="1" x14ac:dyDescent="0.2">
      <c r="B88" s="52">
        <v>7</v>
      </c>
      <c r="C88" s="52">
        <f t="shared" ca="1" si="52"/>
        <v>74</v>
      </c>
      <c r="D88" s="71">
        <f t="shared" ca="1" si="70"/>
        <v>47413</v>
      </c>
      <c r="E88" s="71">
        <f t="shared" ca="1" si="53"/>
        <v>47444</v>
      </c>
      <c r="F88" s="72">
        <f t="shared" ca="1" si="54"/>
        <v>31</v>
      </c>
      <c r="G88" s="73">
        <f ca="1">SUM($F$15:F88)/360</f>
        <v>6.2583333333333337</v>
      </c>
      <c r="H88" s="74">
        <f t="shared" si="56"/>
        <v>25000000</v>
      </c>
      <c r="I88" s="59">
        <f>IF('Cap Pricer'!$E$22=DataValidation!$C$2,'Cap Pricer'!$E$23,IF('Cap Pricer'!$E$22=DataValidation!$C$3,VLOOKUP($B88,'Cap Pricer'!$C$25:$E$31,3),""))</f>
        <v>0.02</v>
      </c>
      <c r="J88" s="57">
        <f>Volatilities_Resets!$E77*0.01</f>
        <v>3.7957100000000001E-2</v>
      </c>
      <c r="K88" s="61">
        <f>IF(I88=L$11,Volatilities_Resets!$AA77,IF(I88&gt;=K$11,IF(I88&lt;L$11,(((Volatilities_Resets!$AA77-Volatilities_Resets!$Y77)/50)*((Calculator!I88-Calculator!K$11)*10000)+Volatilities_Resets!$Y77)),IF(I88&gt;=K$10,IF(I88&lt;L$10,(((Volatilities_Resets!$Y77-Volatilities_Resets!$W77)/50)*((Calculator!I88-Calculator!K$10)*10000)+Volatilities_Resets!$W77)),IF(I88&gt;=K$9,IF(I88&lt;L$9,(((Volatilities_Resets!$W77-Volatilities_Resets!$U77)/50)*((Calculator!I88-Calculator!K$9)*10000)+Volatilities_Resets!$U77)),IF(I88&gt;=K$8,IF(I88&lt;L$8,(((Volatilities_Resets!$U77-Volatilities_Resets!$S77)/50)*((Calculator!I88-Calculator!K$8)*10000)+Volatilities_Resets!$S77)),IF(I88&gt;=K$7,IF(I88&lt;L$7,(((Volatilities_Resets!$S77-Volatilities_Resets!$Q77)/50)*((Calculator!I88-Calculator!K$7)*10000)+Volatilities_Resets!$Q77)),IF(I88&gt;=K$6,IF(I88&lt;L$6,(((Volatilities_Resets!$Q77-Volatilities_Resets!$O77)/50)*((Calculator!I88-Calculator!K$6)*10000)+Volatilities_Resets!$O77)),IF(I88&gt;=K$5,IF(I88&lt;L$5,(((Volatilities_Resets!$O77-Volatilities_Resets!$M77)/50)*((Calculator!I88-Calculator!K$5)*10000)+Volatilities_Resets!$M77)),IF(I88&gt;=K$4,IF(I88&lt;L$4,(((Volatilities_Resets!$M77-Volatilities_Resets!$K77)/50)*((Calculator!I88-Calculator!K$4)*10000)+Volatilities_Resets!$K77)),IF(I88&gt;=K$3,IF(I88&lt;L$3,(((Volatilities_Resets!$K77-Volatilities_Resets!$I77)/50)*((Calculator!I88-Calculator!K$3)*10000)+Volatilities_Resets!$I77)),IF(I88&gt;=K$2,IF(I88&lt;L$2,(((Volatilities_Resets!$I77-Volatilities_Resets!$G77)/50)*((Calculator!I88-Calculator!K$2)*10000)+Volatilities_Resets!$G77)),"Well, something broke...")))))))))))/10000</f>
        <v>1.0723E-2</v>
      </c>
      <c r="L88" s="47">
        <f t="shared" ca="1" si="71"/>
        <v>36530.676395920003</v>
      </c>
      <c r="M88" s="63">
        <f t="shared" ca="1" si="72"/>
        <v>1.4665380844362521E-3</v>
      </c>
      <c r="N88" s="63">
        <f t="shared" ca="1" si="55"/>
        <v>3387721.038416903</v>
      </c>
      <c r="Q88" s="63">
        <f t="shared" ca="1" si="73"/>
        <v>102.44821050042712</v>
      </c>
      <c r="R88" s="63">
        <f ca="1">SUM($Q$15:Q88)</f>
        <v>5508.7671399108604</v>
      </c>
      <c r="T88" s="52">
        <f ca="1">EXP(-AVERAGE(J$15:J88)*G88)</f>
        <v>0.77158846789864377</v>
      </c>
      <c r="U88" s="57"/>
      <c r="V88" s="52">
        <f t="shared" ca="1" si="74"/>
        <v>74</v>
      </c>
      <c r="W88" s="71">
        <f t="shared" ca="1" si="75"/>
        <v>47413</v>
      </c>
      <c r="X88" s="71">
        <f t="shared" ca="1" si="57"/>
        <v>47444</v>
      </c>
      <c r="Y88" s="72">
        <f t="shared" ca="1" si="58"/>
        <v>31</v>
      </c>
      <c r="Z88" s="73">
        <f ca="1">SUM(Y$15:Y88)/360</f>
        <v>6.2583333333333337</v>
      </c>
      <c r="AA88" s="74">
        <f t="shared" si="59"/>
        <v>25000000</v>
      </c>
      <c r="AB88" s="59">
        <f t="shared" si="76"/>
        <v>0.03</v>
      </c>
      <c r="AC88" s="57">
        <f>Volatilities_Resets!$E77*0.01</f>
        <v>3.7957100000000001E-2</v>
      </c>
      <c r="AD88" s="61">
        <f>IF(AB88=AE$11,Volatilities_Resets!$AA77,IF(AB88&gt;=AD$11,IF(AB88&lt;AE$11,(((Volatilities_Resets!$AA77-Volatilities_Resets!$Y77)/50)*((Calculator!AB88-Calculator!AD$11)*10000)+Volatilities_Resets!$Y77)),IF(AB88&gt;=AD$10,IF(AB88&lt;AE$10,(((Volatilities_Resets!$Y77-Volatilities_Resets!$W77)/50)*((Calculator!AB88-Calculator!AD$10)*10000)+Volatilities_Resets!$W77)),IF(AB88&gt;=AD$9,IF(AB88&lt;AE$9,(((Volatilities_Resets!$W77-Volatilities_Resets!$U77)/50)*((Calculator!AB88-Calculator!AD$9)*10000)+Volatilities_Resets!$U77)),IF(AB88&gt;=AD$8,IF(AB88&lt;AE$8,(((Volatilities_Resets!$U77-Volatilities_Resets!$S77)/50)*((Calculator!AB88-Calculator!AD$8)*10000)+Volatilities_Resets!$S77)),IF(AB88&gt;=AD$7,IF(AB88&lt;AE$7,(((Volatilities_Resets!$S77-Volatilities_Resets!$Q77)/50)*((Calculator!AB88-Calculator!AD$7)*10000)+Volatilities_Resets!$Q77)),IF(AB88&gt;=AD$6,IF(AB88&lt;AE$6,(((Volatilities_Resets!$Q77-Volatilities_Resets!$O77)/50)*((Calculator!AB88-Calculator!AD$6)*10000)+Volatilities_Resets!$O77)),IF(AB88&gt;=AD$5,IF(AB88&lt;AE$5,(((Volatilities_Resets!$O77-Volatilities_Resets!$M77)/50)*((Calculator!AB88-Calculator!AD$5)*10000)+Volatilities_Resets!$M77)),IF(AB88&gt;=AD$4,IF(AB88&lt;AE$4,(((Volatilities_Resets!$M77-Volatilities_Resets!$K77)/50)*((Calculator!AB88-Calculator!AD$4)*10000)+Volatilities_Resets!$K77)),IF(AB88&gt;=AD$3,IF(AB88&lt;AE$3,(((Volatilities_Resets!$K77-Volatilities_Resets!$I77)/50)*((Calculator!AB88-Calculator!AD$3)*10000)+Volatilities_Resets!$I77)),IF(AB88&gt;=AD$2,IF(AB88&lt;AE$2,(((Volatilities_Resets!$I77-Volatilities_Resets!$G77)/50)*((Calculator!AB88-Calculator!AD$2)*10000)+Volatilities_Resets!$G77)),"Well, something broke...")))))))))))/10000</f>
        <v>1.0901000000000001E-2</v>
      </c>
      <c r="AE88" s="63">
        <f t="shared" ca="1" si="77"/>
        <v>25443.816402139386</v>
      </c>
      <c r="AF88" s="63">
        <f t="shared" ca="1" si="78"/>
        <v>1.0241098452241739E-3</v>
      </c>
      <c r="AG88" s="63">
        <f t="shared" ca="1" si="97"/>
        <v>2329849.2659875117</v>
      </c>
      <c r="AJ88" s="63">
        <f t="shared" ca="1" si="79"/>
        <v>122.62834568982724</v>
      </c>
      <c r="AK88" s="63">
        <f ca="1">SUM($AJ$15:AJ88)</f>
        <v>6693.8755887765701</v>
      </c>
      <c r="AM88" s="52">
        <f ca="1">EXP(-AVERAGE(AC$15:AC88)*Z88)</f>
        <v>0.77158846789864377</v>
      </c>
      <c r="AO88" s="52">
        <f t="shared" ca="1" si="80"/>
        <v>74</v>
      </c>
      <c r="AP88" s="71">
        <f t="shared" ca="1" si="81"/>
        <v>47413</v>
      </c>
      <c r="AQ88" s="71">
        <f t="shared" ca="1" si="60"/>
        <v>47444</v>
      </c>
      <c r="AR88" s="72">
        <f t="shared" ca="1" si="61"/>
        <v>31</v>
      </c>
      <c r="AS88" s="73">
        <f ca="1">SUM(AR$15:AR88)/360</f>
        <v>6.2583333333333337</v>
      </c>
      <c r="AT88" s="74">
        <f t="shared" si="62"/>
        <v>25000000</v>
      </c>
      <c r="AU88" s="59">
        <f t="shared" si="82"/>
        <v>0.04</v>
      </c>
      <c r="AV88" s="57">
        <f>Volatilities_Resets!$E77*0.01</f>
        <v>3.7957100000000001E-2</v>
      </c>
      <c r="AW88" s="61">
        <f>IF(AU88=AX$11,Volatilities_Resets!$AA77,IF(AU88&gt;=AW$11,IF(AU88&lt;AX$11,(((Volatilities_Resets!$AA77-Volatilities_Resets!$Y77)/50)*((Calculator!AU88-Calculator!AW$11)*10000)+Volatilities_Resets!$Y77)),IF(AU88&gt;=AW$10,IF(AU88&lt;AX$10,(((Volatilities_Resets!$Y77-Volatilities_Resets!$W77)/50)*((Calculator!AU88-Calculator!AW$10)*10000)+Volatilities_Resets!$W77)),IF(AU88&gt;=AW$9,IF(AU88&lt;AX$9,(((Volatilities_Resets!$W77-Volatilities_Resets!$U77)/50)*((Calculator!AU88-Calculator!AW$9)*10000)+Volatilities_Resets!$U77)),IF(AU88&gt;=AW$8,IF(AU88&lt;AX$8,(((Volatilities_Resets!$U77-Volatilities_Resets!$S77)/50)*((Calculator!AU88-Calculator!AW$8)*10000)+Volatilities_Resets!$S77)),IF(AU88&gt;=AW$7,IF(AU88&lt;AX$7,(((Volatilities_Resets!$S77-Volatilities_Resets!$Q77)/50)*((Calculator!AU88-Calculator!AW$7)*10000)+Volatilities_Resets!$Q77)),IF(AU88&gt;=AW$6,IF(AU88&lt;AX$6,(((Volatilities_Resets!$Q77-Volatilities_Resets!$O77)/50)*((Calculator!AU88-Calculator!AW$6)*10000)+Volatilities_Resets!$O77)),IF(AU88&gt;=AW$5,IF(AU88&lt;AX$5,(((Volatilities_Resets!$O77-Volatilities_Resets!$M77)/50)*((Calculator!AU88-Calculator!AW$5)*10000)+Volatilities_Resets!$M77)),IF(AU88&gt;=AW$4,IF(AU88&lt;AX$4,(((Volatilities_Resets!$M77-Volatilities_Resets!$K77)/50)*((Calculator!AU88-Calculator!AW$4)*10000)+Volatilities_Resets!$K77)),IF(AU88&gt;=AW$3,IF(AU88&lt;AX$3,(((Volatilities_Resets!$K77-Volatilities_Resets!$I77)/50)*((Calculator!AU88-Calculator!AW$3)*10000)+Volatilities_Resets!$I77)),IF(AU88&gt;=AW$2,IF(AU88&lt;AX$2,(((Volatilities_Resets!$I77-Volatilities_Resets!$G77)/50)*((Calculator!AU88-Calculator!AW$2)*10000)+Volatilities_Resets!$G77)),"Well, something broke...")))))))))))/10000</f>
        <v>1.1322E-2</v>
      </c>
      <c r="AX88" s="63">
        <f t="shared" ca="1" si="83"/>
        <v>17121.386389088668</v>
      </c>
      <c r="AY88" s="63">
        <f t="shared" ca="1" si="84"/>
        <v>6.9146946139611142E-4</v>
      </c>
      <c r="AZ88" s="63">
        <f t="shared" ca="1" si="98"/>
        <v>1426078.9188070819</v>
      </c>
      <c r="BC88" s="63">
        <f t="shared" ca="1" si="63"/>
        <v>127.58226567553301</v>
      </c>
      <c r="BD88" s="63">
        <f ca="1">SUM($BC$15:BC88)</f>
        <v>7195.7425257103505</v>
      </c>
      <c r="BF88" s="52">
        <f ca="1">EXP(-AVERAGE(AV$15:AV88)*AS88)</f>
        <v>0.77158846789864377</v>
      </c>
      <c r="BH88" s="52">
        <f t="shared" ca="1" si="85"/>
        <v>74</v>
      </c>
      <c r="BI88" s="71">
        <f t="shared" ca="1" si="86"/>
        <v>47413</v>
      </c>
      <c r="BJ88" s="71">
        <f t="shared" ca="1" si="64"/>
        <v>47444</v>
      </c>
      <c r="BK88" s="72">
        <f t="shared" ca="1" si="65"/>
        <v>31</v>
      </c>
      <c r="BL88" s="73">
        <f ca="1">SUM(BK$15:BK88)/360</f>
        <v>6.2583333333333337</v>
      </c>
      <c r="BM88" s="74">
        <f t="shared" si="66"/>
        <v>25000000</v>
      </c>
      <c r="BN88" s="59">
        <f t="shared" si="87"/>
        <v>0.05</v>
      </c>
      <c r="BO88" s="57">
        <f>Volatilities_Resets!$E77*0.01</f>
        <v>3.7957100000000001E-2</v>
      </c>
      <c r="BP88" s="61">
        <f>IF(BN88=BQ$11,Volatilities_Resets!$AA77,IF(BN88&gt;=BP$11,IF(BN88&lt;BQ$11,(((Volatilities_Resets!$AA77-Volatilities_Resets!$Y77)/50)*((Calculator!BN88-Calculator!BP$11)*10000)+Volatilities_Resets!$Y77)),IF(BN88&gt;=BP$10,IF(BN88&lt;BQ$10,(((Volatilities_Resets!$Y77-Volatilities_Resets!$W77)/50)*((Calculator!BN88-Calculator!BP$10)*10000)+Volatilities_Resets!$W77)),IF(BN88&gt;=BP$9,IF(BN88&lt;BQ$9,(((Volatilities_Resets!$W77-Volatilities_Resets!$U77)/50)*((Calculator!BN88-Calculator!BP$9)*10000)+Volatilities_Resets!$U77)),IF(BN88&gt;=BP$8,IF(BN88&lt;BQ$8,(((Volatilities_Resets!$U77-Volatilities_Resets!$S77)/50)*((Calculator!BN88-Calculator!BP$8)*10000)+Volatilities_Resets!$S77)),IF(BN88&gt;=BP$7,IF(BN88&lt;BQ$7,(((Volatilities_Resets!$S77-Volatilities_Resets!$Q77)/50)*((Calculator!BN88-Calculator!BP$7)*10000)+Volatilities_Resets!$Q77)),IF(BN88&gt;=BP$6,IF(BN88&lt;BQ$6,(((Volatilities_Resets!$Q77-Volatilities_Resets!$O77)/50)*((Calculator!BN88-Calculator!BP$6)*10000)+Volatilities_Resets!$O77)),IF(BN88&gt;=BP$5,IF(BN88&lt;BQ$5,(((Volatilities_Resets!$O77-Volatilities_Resets!$M77)/50)*((Calculator!BN88-Calculator!BP$5)*10000)+Volatilities_Resets!$M77)),IF(BN88&gt;=BP$4,IF(BN88&lt;BQ$4,(((Volatilities_Resets!$M77-Volatilities_Resets!$K77)/50)*((Calculator!BN88-Calculator!BP$4)*10000)+Volatilities_Resets!$K77)),IF(BN88&gt;=BP$3,IF(BN88&lt;BQ$3,(((Volatilities_Resets!$K77-Volatilities_Resets!$I77)/50)*((Calculator!BN88-Calculator!BP$3)*10000)+Volatilities_Resets!$I77)),IF(BN88&gt;=BP$2,IF(BN88&lt;BQ$2,(((Volatilities_Resets!$I77-Volatilities_Resets!$G77)/50)*((Calculator!BN88-Calculator!BP$2)*10000)+Volatilities_Resets!$G77)),"Well, something broke...")))))))))))/10000</f>
        <v>1.1968000000000001E-2</v>
      </c>
      <c r="BQ88" s="63">
        <f t="shared" ca="1" si="88"/>
        <v>11421.923228615742</v>
      </c>
      <c r="BR88" s="63">
        <f t="shared" ca="1" si="89"/>
        <v>4.629968039673633E-4</v>
      </c>
      <c r="BS88" s="63">
        <f t="shared" ca="1" si="99"/>
        <v>745569.44817974605</v>
      </c>
      <c r="BV88" s="63">
        <f t="shared" ca="1" si="90"/>
        <v>118.05062095511326</v>
      </c>
      <c r="BW88" s="63">
        <f ca="1">SUM($BV$15:BV88)</f>
        <v>6916.0459595764487</v>
      </c>
      <c r="BY88" s="52">
        <f ca="1">EXP(-AVERAGE(BO$15:BO88)*BL88)</f>
        <v>0.77158846789864377</v>
      </c>
      <c r="CA88" s="52">
        <f t="shared" ca="1" si="91"/>
        <v>74</v>
      </c>
      <c r="CB88" s="71">
        <f t="shared" ca="1" si="92"/>
        <v>47413</v>
      </c>
      <c r="CC88" s="71">
        <f t="shared" ca="1" si="67"/>
        <v>47444</v>
      </c>
      <c r="CD88" s="72">
        <f t="shared" ca="1" si="68"/>
        <v>31</v>
      </c>
      <c r="CE88" s="73">
        <f ca="1">SUM(CD$15:CD88)/360</f>
        <v>6.2583333333333337</v>
      </c>
      <c r="CF88" s="74">
        <f t="shared" si="69"/>
        <v>25000000</v>
      </c>
      <c r="CG88" s="59">
        <f t="shared" si="93"/>
        <v>0.06</v>
      </c>
      <c r="CH88" s="57">
        <f>Volatilities_Resets!$E77*0.01</f>
        <v>3.7957100000000001E-2</v>
      </c>
      <c r="CI88" s="61">
        <f>IF(CG88=CJ$11,Volatilities_Resets!$AA77,IF(CG88&gt;=CI$11,IF(CG88&lt;CJ$11,(((Volatilities_Resets!$AA77-Volatilities_Resets!$Y77)/50)*((Calculator!CG88-Calculator!CI$11)*10000)+Volatilities_Resets!$Y77)),IF(CG88&gt;=CI$10,IF(CG88&lt;CJ$10,(((Volatilities_Resets!$Y77-Volatilities_Resets!$W77)/50)*((Calculator!CG88-Calculator!CI$10)*10000)+Volatilities_Resets!$W77)),IF(CG88&gt;=CI$9,IF(CG88&lt;CJ$9,(((Volatilities_Resets!$W77-Volatilities_Resets!$U77)/50)*((Calculator!CG88-Calculator!CI$9)*10000)+Volatilities_Resets!$U77)),IF(CG88&gt;=CI$8,IF(CG88&lt;CJ$8,(((Volatilities_Resets!$U77-Volatilities_Resets!$S77)/50)*((Calculator!CG88-Calculator!CI$8)*10000)+Volatilities_Resets!$S77)),IF(CG88&gt;=CI$7,IF(CG88&lt;CJ$7,(((Volatilities_Resets!$S77-Volatilities_Resets!$Q77)/50)*((Calculator!CG88-Calculator!CI$7)*10000)+Volatilities_Resets!$Q77)),IF(CG88&gt;=CI$6,IF(CG88&lt;CJ$6,(((Volatilities_Resets!$Q77-Volatilities_Resets!$O77)/50)*((Calculator!CG88-Calculator!CI$6)*10000)+Volatilities_Resets!$O77)),IF(CG88&gt;=CI$5,IF(CG88&lt;CJ$5,(((Volatilities_Resets!$O77-Volatilities_Resets!$M77)/50)*((Calculator!CG88-Calculator!CI$5)*10000)+Volatilities_Resets!$M77)),IF(CG88&gt;=CI$4,IF(CG88&lt;CJ$4,(((Volatilities_Resets!$M77-Volatilities_Resets!$K77)/50)*((Calculator!CG88-Calculator!CI$4)*10000)+Volatilities_Resets!$K77)),IF(CG88&gt;=CI$3,IF(CG88&lt;CJ$3,(((Volatilities_Resets!$K77-Volatilities_Resets!$I77)/50)*((Calculator!CG88-Calculator!CI$3)*10000)+Volatilities_Resets!$I77)),IF(CG88&gt;=CI$2,IF(CG88&lt;CJ$2,(((Volatilities_Resets!$I77-Volatilities_Resets!$G77)/50)*((Calculator!CG88-Calculator!CI$2)*10000)+Volatilities_Resets!$G77)),"Well, something broke...")))))))))))/10000</f>
        <v>1.2784999999999999E-2</v>
      </c>
      <c r="CJ88" s="63">
        <f t="shared" ca="1" si="94"/>
        <v>7730.6862181430197</v>
      </c>
      <c r="CK88" s="63">
        <f t="shared" ca="1" si="95"/>
        <v>3.1446639546338226E-4</v>
      </c>
      <c r="CL88" s="63">
        <f t="shared" ca="1" si="100"/>
        <v>379852.05209358997</v>
      </c>
      <c r="CO88" s="63">
        <f t="shared" ca="1" si="96"/>
        <v>101.0577721678706</v>
      </c>
      <c r="CP88" s="63">
        <f ca="1">SUM($CO$15:CO88)</f>
        <v>5434.365824475457</v>
      </c>
      <c r="CR88" s="52">
        <f ca="1">EXP(-AVERAGE(CH$15:CH88)*CE88)</f>
        <v>0.77158846789864377</v>
      </c>
      <c r="CT88"/>
      <c r="CU88"/>
      <c r="CV88"/>
      <c r="CW88"/>
      <c r="CX88"/>
      <c r="CY88"/>
      <c r="CZ88"/>
      <c r="DA88"/>
      <c r="DB88"/>
      <c r="DC88"/>
      <c r="DD88"/>
      <c r="DE88"/>
      <c r="DF88"/>
      <c r="DG88"/>
      <c r="DH88"/>
      <c r="DI88"/>
      <c r="DJ88"/>
      <c r="DK88"/>
      <c r="DL88"/>
    </row>
    <row r="89" spans="2:116" ht="15.75" customHeight="1" x14ac:dyDescent="0.2">
      <c r="B89" s="52">
        <v>7</v>
      </c>
      <c r="C89" s="52">
        <f t="shared" ca="1" si="52"/>
        <v>75</v>
      </c>
      <c r="D89" s="71">
        <f t="shared" ca="1" si="70"/>
        <v>47444</v>
      </c>
      <c r="E89" s="71">
        <f t="shared" ca="1" si="53"/>
        <v>47474</v>
      </c>
      <c r="F89" s="72">
        <f t="shared" ca="1" si="54"/>
        <v>30</v>
      </c>
      <c r="G89" s="73">
        <f ca="1">SUM($F$15:F89)/360</f>
        <v>6.3416666666666668</v>
      </c>
      <c r="H89" s="74">
        <f t="shared" si="56"/>
        <v>25000000</v>
      </c>
      <c r="I89" s="59">
        <f>IF('Cap Pricer'!$E$22=DataValidation!$C$2,'Cap Pricer'!$E$23,IF('Cap Pricer'!$E$22=DataValidation!$C$3,VLOOKUP($B89,'Cap Pricer'!$C$25:$E$31,3),""))</f>
        <v>0.02</v>
      </c>
      <c r="J89" s="57">
        <f>Volatilities_Resets!$E78*0.01</f>
        <v>3.7951100000000001E-2</v>
      </c>
      <c r="K89" s="61">
        <f>IF(I89=L$11,Volatilities_Resets!$AA78,IF(I89&gt;=K$11,IF(I89&lt;L$11,(((Volatilities_Resets!$AA78-Volatilities_Resets!$Y78)/50)*((Calculator!I89-Calculator!K$11)*10000)+Volatilities_Resets!$Y78)),IF(I89&gt;=K$10,IF(I89&lt;L$10,(((Volatilities_Resets!$Y78-Volatilities_Resets!$W78)/50)*((Calculator!I89-Calculator!K$10)*10000)+Volatilities_Resets!$W78)),IF(I89&gt;=K$9,IF(I89&lt;L$9,(((Volatilities_Resets!$W78-Volatilities_Resets!$U78)/50)*((Calculator!I89-Calculator!K$9)*10000)+Volatilities_Resets!$U78)),IF(I89&gt;=K$8,IF(I89&lt;L$8,(((Volatilities_Resets!$U78-Volatilities_Resets!$S78)/50)*((Calculator!I89-Calculator!K$8)*10000)+Volatilities_Resets!$S78)),IF(I89&gt;=K$7,IF(I89&lt;L$7,(((Volatilities_Resets!$S78-Volatilities_Resets!$Q78)/50)*((Calculator!I89-Calculator!K$7)*10000)+Volatilities_Resets!$Q78)),IF(I89&gt;=K$6,IF(I89&lt;L$6,(((Volatilities_Resets!$Q78-Volatilities_Resets!$O78)/50)*((Calculator!I89-Calculator!K$6)*10000)+Volatilities_Resets!$O78)),IF(I89&gt;=K$5,IF(I89&lt;L$5,(((Volatilities_Resets!$O78-Volatilities_Resets!$M78)/50)*((Calculator!I89-Calculator!K$5)*10000)+Volatilities_Resets!$M78)),IF(I89&gt;=K$4,IF(I89&lt;L$4,(((Volatilities_Resets!$M78-Volatilities_Resets!$K78)/50)*((Calculator!I89-Calculator!K$4)*10000)+Volatilities_Resets!$K78)),IF(I89&gt;=K$3,IF(I89&lt;L$3,(((Volatilities_Resets!$K78-Volatilities_Resets!$I78)/50)*((Calculator!I89-Calculator!K$3)*10000)+Volatilities_Resets!$I78)),IF(I89&gt;=K$2,IF(I89&lt;L$2,(((Volatilities_Resets!$I78-Volatilities_Resets!$G78)/50)*((Calculator!I89-Calculator!K$2)*10000)+Volatilities_Resets!$G78)),"Well, something broke...")))))))))))/10000</f>
        <v>1.0723E-2</v>
      </c>
      <c r="L89" s="47">
        <f t="shared" ca="1" si="71"/>
        <v>35324.694949191726</v>
      </c>
      <c r="M89" s="63">
        <f t="shared" ca="1" si="72"/>
        <v>1.4181611175144804E-3</v>
      </c>
      <c r="N89" s="63">
        <f t="shared" ca="1" si="55"/>
        <v>3423045.7333660945</v>
      </c>
      <c r="Q89" s="63">
        <f t="shared" ca="1" si="73"/>
        <v>99.477163646373839</v>
      </c>
      <c r="R89" s="63">
        <f ca="1">SUM($Q$15:Q89)</f>
        <v>5608.2443035572342</v>
      </c>
      <c r="T89" s="52">
        <f ca="1">EXP(-AVERAGE(J$15:J89)*G89)</f>
        <v>0.76915537690060598</v>
      </c>
      <c r="U89" s="57"/>
      <c r="V89" s="52">
        <f t="shared" ca="1" si="74"/>
        <v>75</v>
      </c>
      <c r="W89" s="71">
        <f t="shared" ca="1" si="75"/>
        <v>47444</v>
      </c>
      <c r="X89" s="71">
        <f t="shared" ca="1" si="57"/>
        <v>47474</v>
      </c>
      <c r="Y89" s="72">
        <f t="shared" ca="1" si="58"/>
        <v>30</v>
      </c>
      <c r="Z89" s="73">
        <f ca="1">SUM(Y$15:Y89)/360</f>
        <v>6.3416666666666668</v>
      </c>
      <c r="AA89" s="74">
        <f t="shared" si="59"/>
        <v>25000000</v>
      </c>
      <c r="AB89" s="59">
        <f t="shared" si="76"/>
        <v>0.03</v>
      </c>
      <c r="AC89" s="57">
        <f>Volatilities_Resets!$E78*0.01</f>
        <v>3.7951100000000001E-2</v>
      </c>
      <c r="AD89" s="61">
        <f>IF(AB89=AE$11,Volatilities_Resets!$AA78,IF(AB89&gt;=AD$11,IF(AB89&lt;AE$11,(((Volatilities_Resets!$AA78-Volatilities_Resets!$Y78)/50)*((Calculator!AB89-Calculator!AD$11)*10000)+Volatilities_Resets!$Y78)),IF(AB89&gt;=AD$10,IF(AB89&lt;AE$10,(((Volatilities_Resets!$Y78-Volatilities_Resets!$W78)/50)*((Calculator!AB89-Calculator!AD$10)*10000)+Volatilities_Resets!$W78)),IF(AB89&gt;=AD$9,IF(AB89&lt;AE$9,(((Volatilities_Resets!$W78-Volatilities_Resets!$U78)/50)*((Calculator!AB89-Calculator!AD$9)*10000)+Volatilities_Resets!$U78)),IF(AB89&gt;=AD$8,IF(AB89&lt;AE$8,(((Volatilities_Resets!$U78-Volatilities_Resets!$S78)/50)*((Calculator!AB89-Calculator!AD$8)*10000)+Volatilities_Resets!$S78)),IF(AB89&gt;=AD$7,IF(AB89&lt;AE$7,(((Volatilities_Resets!$S78-Volatilities_Resets!$Q78)/50)*((Calculator!AB89-Calculator!AD$7)*10000)+Volatilities_Resets!$Q78)),IF(AB89&gt;=AD$6,IF(AB89&lt;AE$6,(((Volatilities_Resets!$Q78-Volatilities_Resets!$O78)/50)*((Calculator!AB89-Calculator!AD$6)*10000)+Volatilities_Resets!$O78)),IF(AB89&gt;=AD$5,IF(AB89&lt;AE$5,(((Volatilities_Resets!$O78-Volatilities_Resets!$M78)/50)*((Calculator!AB89-Calculator!AD$5)*10000)+Volatilities_Resets!$M78)),IF(AB89&gt;=AD$4,IF(AB89&lt;AE$4,(((Volatilities_Resets!$M78-Volatilities_Resets!$K78)/50)*((Calculator!AB89-Calculator!AD$4)*10000)+Volatilities_Resets!$K78)),IF(AB89&gt;=AD$3,IF(AB89&lt;AE$3,(((Volatilities_Resets!$K78-Volatilities_Resets!$I78)/50)*((Calculator!AB89-Calculator!AD$3)*10000)+Volatilities_Resets!$I78)),IF(AB89&gt;=AD$2,IF(AB89&lt;AE$2,(((Volatilities_Resets!$I78-Volatilities_Resets!$G78)/50)*((Calculator!AB89-Calculator!AD$2)*10000)+Volatilities_Resets!$G78)),"Well, something broke...")))))))))))/10000</f>
        <v>1.0901000000000001E-2</v>
      </c>
      <c r="AE89" s="63">
        <f t="shared" ca="1" si="77"/>
        <v>24650.392881944186</v>
      </c>
      <c r="AF89" s="63">
        <f t="shared" ca="1" si="78"/>
        <v>9.9219293976867198E-4</v>
      </c>
      <c r="AG89" s="63">
        <f t="shared" ca="1" si="97"/>
        <v>2354499.658869456</v>
      </c>
      <c r="AJ89" s="63">
        <f t="shared" ca="1" si="79"/>
        <v>118.78113578753461</v>
      </c>
      <c r="AK89" s="63">
        <f ca="1">SUM($AJ$15:AJ89)</f>
        <v>6812.6567245641045</v>
      </c>
      <c r="AM89" s="52">
        <f ca="1">EXP(-AVERAGE(AC$15:AC89)*Z89)</f>
        <v>0.76915537690060598</v>
      </c>
      <c r="AO89" s="52">
        <f t="shared" ca="1" si="80"/>
        <v>75</v>
      </c>
      <c r="AP89" s="71">
        <f t="shared" ca="1" si="81"/>
        <v>47444</v>
      </c>
      <c r="AQ89" s="71">
        <f t="shared" ca="1" si="60"/>
        <v>47474</v>
      </c>
      <c r="AR89" s="72">
        <f t="shared" ca="1" si="61"/>
        <v>30</v>
      </c>
      <c r="AS89" s="73">
        <f ca="1">SUM(AR$15:AR89)/360</f>
        <v>6.3416666666666668</v>
      </c>
      <c r="AT89" s="74">
        <f t="shared" si="62"/>
        <v>25000000</v>
      </c>
      <c r="AU89" s="59">
        <f t="shared" si="82"/>
        <v>0.04</v>
      </c>
      <c r="AV89" s="57">
        <f>Volatilities_Resets!$E78*0.01</f>
        <v>3.7951100000000001E-2</v>
      </c>
      <c r="AW89" s="61">
        <f>IF(AU89=AX$11,Volatilities_Resets!$AA78,IF(AU89&gt;=AW$11,IF(AU89&lt;AX$11,(((Volatilities_Resets!$AA78-Volatilities_Resets!$Y78)/50)*((Calculator!AU89-Calculator!AW$11)*10000)+Volatilities_Resets!$Y78)),IF(AU89&gt;=AW$10,IF(AU89&lt;AX$10,(((Volatilities_Resets!$Y78-Volatilities_Resets!$W78)/50)*((Calculator!AU89-Calculator!AW$10)*10000)+Volatilities_Resets!$W78)),IF(AU89&gt;=AW$9,IF(AU89&lt;AX$9,(((Volatilities_Resets!$W78-Volatilities_Resets!$U78)/50)*((Calculator!AU89-Calculator!AW$9)*10000)+Volatilities_Resets!$U78)),IF(AU89&gt;=AW$8,IF(AU89&lt;AX$8,(((Volatilities_Resets!$U78-Volatilities_Resets!$S78)/50)*((Calculator!AU89-Calculator!AW$8)*10000)+Volatilities_Resets!$S78)),IF(AU89&gt;=AW$7,IF(AU89&lt;AX$7,(((Volatilities_Resets!$S78-Volatilities_Resets!$Q78)/50)*((Calculator!AU89-Calculator!AW$7)*10000)+Volatilities_Resets!$Q78)),IF(AU89&gt;=AW$6,IF(AU89&lt;AX$6,(((Volatilities_Resets!$Q78-Volatilities_Resets!$O78)/50)*((Calculator!AU89-Calculator!AW$6)*10000)+Volatilities_Resets!$O78)),IF(AU89&gt;=AW$5,IF(AU89&lt;AX$5,(((Volatilities_Resets!$O78-Volatilities_Resets!$M78)/50)*((Calculator!AU89-Calculator!AW$5)*10000)+Volatilities_Resets!$M78)),IF(AU89&gt;=AW$4,IF(AU89&lt;AX$4,(((Volatilities_Resets!$M78-Volatilities_Resets!$K78)/50)*((Calculator!AU89-Calculator!AW$4)*10000)+Volatilities_Resets!$K78)),IF(AU89&gt;=AW$3,IF(AU89&lt;AX$3,(((Volatilities_Resets!$K78-Volatilities_Resets!$I78)/50)*((Calculator!AU89-Calculator!AW$3)*10000)+Volatilities_Resets!$I78)),IF(AU89&gt;=AW$2,IF(AU89&lt;AX$2,(((Volatilities_Resets!$I78-Volatilities_Resets!$G78)/50)*((Calculator!AU89-Calculator!AW$2)*10000)+Volatilities_Resets!$G78)),"Well, something broke...")))))))))))/10000</f>
        <v>1.1320999999999999E-2</v>
      </c>
      <c r="AX89" s="63">
        <f t="shared" ca="1" si="83"/>
        <v>16630.538309381092</v>
      </c>
      <c r="AY89" s="63">
        <f t="shared" ca="1" si="84"/>
        <v>6.716444575828298E-4</v>
      </c>
      <c r="AZ89" s="63">
        <f t="shared" ca="1" si="98"/>
        <v>1442709.457116463</v>
      </c>
      <c r="BC89" s="63">
        <f t="shared" ca="1" si="63"/>
        <v>123.50568647113164</v>
      </c>
      <c r="BD89" s="63">
        <f ca="1">SUM($BC$15:BC89)</f>
        <v>7319.2482121814819</v>
      </c>
      <c r="BF89" s="52">
        <f ca="1">EXP(-AVERAGE(AV$15:AV89)*AS89)</f>
        <v>0.76915537690060598</v>
      </c>
      <c r="BH89" s="52">
        <f t="shared" ca="1" si="85"/>
        <v>75</v>
      </c>
      <c r="BI89" s="71">
        <f t="shared" ca="1" si="86"/>
        <v>47444</v>
      </c>
      <c r="BJ89" s="71">
        <f t="shared" ca="1" si="64"/>
        <v>47474</v>
      </c>
      <c r="BK89" s="72">
        <f t="shared" ca="1" si="65"/>
        <v>30</v>
      </c>
      <c r="BL89" s="73">
        <f ca="1">SUM(BK$15:BK89)/360</f>
        <v>6.3416666666666668</v>
      </c>
      <c r="BM89" s="74">
        <f t="shared" si="66"/>
        <v>25000000</v>
      </c>
      <c r="BN89" s="59">
        <f t="shared" si="87"/>
        <v>0.05</v>
      </c>
      <c r="BO89" s="57">
        <f>Volatilities_Resets!$E78*0.01</f>
        <v>3.7951100000000001E-2</v>
      </c>
      <c r="BP89" s="61">
        <f>IF(BN89=BQ$11,Volatilities_Resets!$AA78,IF(BN89&gt;=BP$11,IF(BN89&lt;BQ$11,(((Volatilities_Resets!$AA78-Volatilities_Resets!$Y78)/50)*((Calculator!BN89-Calculator!BP$11)*10000)+Volatilities_Resets!$Y78)),IF(BN89&gt;=BP$10,IF(BN89&lt;BQ$10,(((Volatilities_Resets!$Y78-Volatilities_Resets!$W78)/50)*((Calculator!BN89-Calculator!BP$10)*10000)+Volatilities_Resets!$W78)),IF(BN89&gt;=BP$9,IF(BN89&lt;BQ$9,(((Volatilities_Resets!$W78-Volatilities_Resets!$U78)/50)*((Calculator!BN89-Calculator!BP$9)*10000)+Volatilities_Resets!$U78)),IF(BN89&gt;=BP$8,IF(BN89&lt;BQ$8,(((Volatilities_Resets!$U78-Volatilities_Resets!$S78)/50)*((Calculator!BN89-Calculator!BP$8)*10000)+Volatilities_Resets!$S78)),IF(BN89&gt;=BP$7,IF(BN89&lt;BQ$7,(((Volatilities_Resets!$S78-Volatilities_Resets!$Q78)/50)*((Calculator!BN89-Calculator!BP$7)*10000)+Volatilities_Resets!$Q78)),IF(BN89&gt;=BP$6,IF(BN89&lt;BQ$6,(((Volatilities_Resets!$Q78-Volatilities_Resets!$O78)/50)*((Calculator!BN89-Calculator!BP$6)*10000)+Volatilities_Resets!$O78)),IF(BN89&gt;=BP$5,IF(BN89&lt;BQ$5,(((Volatilities_Resets!$O78-Volatilities_Resets!$M78)/50)*((Calculator!BN89-Calculator!BP$5)*10000)+Volatilities_Resets!$M78)),IF(BN89&gt;=BP$4,IF(BN89&lt;BQ$4,(((Volatilities_Resets!$M78-Volatilities_Resets!$K78)/50)*((Calculator!BN89-Calculator!BP$4)*10000)+Volatilities_Resets!$K78)),IF(BN89&gt;=BP$3,IF(BN89&lt;BQ$3,(((Volatilities_Resets!$K78-Volatilities_Resets!$I78)/50)*((Calculator!BN89-Calculator!BP$3)*10000)+Volatilities_Resets!$I78)),IF(BN89&gt;=BP$2,IF(BN89&lt;BQ$2,(((Volatilities_Resets!$I78-Volatilities_Resets!$G78)/50)*((Calculator!BN89-Calculator!BP$2)*10000)+Volatilities_Resets!$G78)),"Well, something broke...")))))))))))/10000</f>
        <v>1.1968000000000001E-2</v>
      </c>
      <c r="BQ89" s="63">
        <f t="shared" ca="1" si="88"/>
        <v>11132.503563922721</v>
      </c>
      <c r="BR89" s="63">
        <f t="shared" ca="1" si="89"/>
        <v>4.5124890168197118E-4</v>
      </c>
      <c r="BS89" s="63">
        <f t="shared" ca="1" si="99"/>
        <v>756701.95174366876</v>
      </c>
      <c r="BV89" s="63">
        <f t="shared" ca="1" si="90"/>
        <v>114.38800167320677</v>
      </c>
      <c r="BW89" s="63">
        <f ca="1">SUM($BV$15:BV89)</f>
        <v>7030.4339612496551</v>
      </c>
      <c r="BY89" s="52">
        <f ca="1">EXP(-AVERAGE(BO$15:BO89)*BL89)</f>
        <v>0.76915537690060598</v>
      </c>
      <c r="CA89" s="52">
        <f t="shared" ca="1" si="91"/>
        <v>75</v>
      </c>
      <c r="CB89" s="71">
        <f t="shared" ca="1" si="92"/>
        <v>47444</v>
      </c>
      <c r="CC89" s="71">
        <f t="shared" ca="1" si="67"/>
        <v>47474</v>
      </c>
      <c r="CD89" s="72">
        <f t="shared" ca="1" si="68"/>
        <v>30</v>
      </c>
      <c r="CE89" s="73">
        <f ca="1">SUM(CD$15:CD89)/360</f>
        <v>6.3416666666666668</v>
      </c>
      <c r="CF89" s="74">
        <f t="shared" si="69"/>
        <v>25000000</v>
      </c>
      <c r="CG89" s="59">
        <f t="shared" si="93"/>
        <v>0.06</v>
      </c>
      <c r="CH89" s="57">
        <f>Volatilities_Resets!$E78*0.01</f>
        <v>3.7951100000000001E-2</v>
      </c>
      <c r="CI89" s="61">
        <f>IF(CG89=CJ$11,Volatilities_Resets!$AA78,IF(CG89&gt;=CI$11,IF(CG89&lt;CJ$11,(((Volatilities_Resets!$AA78-Volatilities_Resets!$Y78)/50)*((Calculator!CG89-Calculator!CI$11)*10000)+Volatilities_Resets!$Y78)),IF(CG89&gt;=CI$10,IF(CG89&lt;CJ$10,(((Volatilities_Resets!$Y78-Volatilities_Resets!$W78)/50)*((Calculator!CG89-Calculator!CI$10)*10000)+Volatilities_Resets!$W78)),IF(CG89&gt;=CI$9,IF(CG89&lt;CJ$9,(((Volatilities_Resets!$W78-Volatilities_Resets!$U78)/50)*((Calculator!CG89-Calculator!CI$9)*10000)+Volatilities_Resets!$U78)),IF(CG89&gt;=CI$8,IF(CG89&lt;CJ$8,(((Volatilities_Resets!$U78-Volatilities_Resets!$S78)/50)*((Calculator!CG89-Calculator!CI$8)*10000)+Volatilities_Resets!$S78)),IF(CG89&gt;=CI$7,IF(CG89&lt;CJ$7,(((Volatilities_Resets!$S78-Volatilities_Resets!$Q78)/50)*((Calculator!CG89-Calculator!CI$7)*10000)+Volatilities_Resets!$Q78)),IF(CG89&gt;=CI$6,IF(CG89&lt;CJ$6,(((Volatilities_Resets!$Q78-Volatilities_Resets!$O78)/50)*((Calculator!CG89-Calculator!CI$6)*10000)+Volatilities_Resets!$O78)),IF(CG89&gt;=CI$5,IF(CG89&lt;CJ$5,(((Volatilities_Resets!$O78-Volatilities_Resets!$M78)/50)*((Calculator!CG89-Calculator!CI$5)*10000)+Volatilities_Resets!$M78)),IF(CG89&gt;=CI$4,IF(CG89&lt;CJ$4,(((Volatilities_Resets!$M78-Volatilities_Resets!$K78)/50)*((Calculator!CG89-Calculator!CI$4)*10000)+Volatilities_Resets!$K78)),IF(CG89&gt;=CI$3,IF(CG89&lt;CJ$3,(((Volatilities_Resets!$K78-Volatilities_Resets!$I78)/50)*((Calculator!CG89-Calculator!CI$3)*10000)+Volatilities_Resets!$I78)),IF(CG89&gt;=CI$2,IF(CG89&lt;CJ$2,(((Volatilities_Resets!$I78-Volatilities_Resets!$G78)/50)*((Calculator!CG89-Calculator!CI$2)*10000)+Volatilities_Resets!$G78)),"Well, something broke...")))))))))))/10000</f>
        <v>1.2784999999999999E-2</v>
      </c>
      <c r="CJ89" s="63">
        <f t="shared" ca="1" si="94"/>
        <v>7562.5082970065114</v>
      </c>
      <c r="CK89" s="63">
        <f t="shared" ca="1" si="95"/>
        <v>3.0760296188538246E-4</v>
      </c>
      <c r="CL89" s="63">
        <f t="shared" ca="1" si="100"/>
        <v>387414.56039059645</v>
      </c>
      <c r="CO89" s="63">
        <f t="shared" ca="1" si="96"/>
        <v>98.117882619349047</v>
      </c>
      <c r="CP89" s="63">
        <f ca="1">SUM($CO$15:CO89)</f>
        <v>5532.4837070948061</v>
      </c>
      <c r="CR89" s="52">
        <f ca="1">EXP(-AVERAGE(CH$15:CH89)*CE89)</f>
        <v>0.76915537690060598</v>
      </c>
      <c r="CT89"/>
      <c r="CU89"/>
      <c r="CV89"/>
      <c r="CW89"/>
      <c r="CX89"/>
      <c r="CY89"/>
      <c r="CZ89"/>
      <c r="DA89"/>
      <c r="DB89"/>
      <c r="DC89"/>
      <c r="DD89"/>
      <c r="DE89"/>
      <c r="DF89"/>
      <c r="DG89"/>
      <c r="DH89"/>
      <c r="DI89"/>
      <c r="DJ89"/>
      <c r="DK89"/>
      <c r="DL89"/>
    </row>
    <row r="90" spans="2:116" ht="15.75" customHeight="1" x14ac:dyDescent="0.2">
      <c r="B90" s="52">
        <v>7</v>
      </c>
      <c r="C90" s="52">
        <f t="shared" ca="1" si="52"/>
        <v>76</v>
      </c>
      <c r="D90" s="71">
        <f t="shared" ca="1" si="70"/>
        <v>47474</v>
      </c>
      <c r="E90" s="71">
        <f t="shared" ca="1" si="53"/>
        <v>47505</v>
      </c>
      <c r="F90" s="72">
        <f t="shared" ca="1" si="54"/>
        <v>31</v>
      </c>
      <c r="G90" s="73">
        <f ca="1">SUM($F$15:F90)/360</f>
        <v>6.427777777777778</v>
      </c>
      <c r="H90" s="74">
        <f t="shared" si="56"/>
        <v>25000000</v>
      </c>
      <c r="I90" s="59">
        <f>IF('Cap Pricer'!$E$22=DataValidation!$C$2,'Cap Pricer'!$E$23,IF('Cap Pricer'!$E$22=DataValidation!$C$3,VLOOKUP($B90,'Cap Pricer'!$C$25:$E$31,3),""))</f>
        <v>0.02</v>
      </c>
      <c r="J90" s="57">
        <f>Volatilities_Resets!$E79*0.01</f>
        <v>3.7955100000000006E-2</v>
      </c>
      <c r="K90" s="61">
        <f>IF(I90=L$11,Volatilities_Resets!$AA79,IF(I90&gt;=K$11,IF(I90&lt;L$11,(((Volatilities_Resets!$AA79-Volatilities_Resets!$Y79)/50)*((Calculator!I90-Calculator!K$11)*10000)+Volatilities_Resets!$Y79)),IF(I90&gt;=K$10,IF(I90&lt;L$10,(((Volatilities_Resets!$Y79-Volatilities_Resets!$W79)/50)*((Calculator!I90-Calculator!K$10)*10000)+Volatilities_Resets!$W79)),IF(I90&gt;=K$9,IF(I90&lt;L$9,(((Volatilities_Resets!$W79-Volatilities_Resets!$U79)/50)*((Calculator!I90-Calculator!K$9)*10000)+Volatilities_Resets!$U79)),IF(I90&gt;=K$8,IF(I90&lt;L$8,(((Volatilities_Resets!$U79-Volatilities_Resets!$S79)/50)*((Calculator!I90-Calculator!K$8)*10000)+Volatilities_Resets!$S79)),IF(I90&gt;=K$7,IF(I90&lt;L$7,(((Volatilities_Resets!$S79-Volatilities_Resets!$Q79)/50)*((Calculator!I90-Calculator!K$7)*10000)+Volatilities_Resets!$Q79)),IF(I90&gt;=K$6,IF(I90&lt;L$6,(((Volatilities_Resets!$Q79-Volatilities_Resets!$O79)/50)*((Calculator!I90-Calculator!K$6)*10000)+Volatilities_Resets!$O79)),IF(I90&gt;=K$5,IF(I90&lt;L$5,(((Volatilities_Resets!$O79-Volatilities_Resets!$M79)/50)*((Calculator!I90-Calculator!K$5)*10000)+Volatilities_Resets!$M79)),IF(I90&gt;=K$4,IF(I90&lt;L$4,(((Volatilities_Resets!$M79-Volatilities_Resets!$K79)/50)*((Calculator!I90-Calculator!K$4)*10000)+Volatilities_Resets!$K79)),IF(I90&gt;=K$3,IF(I90&lt;L$3,(((Volatilities_Resets!$K79-Volatilities_Resets!$I79)/50)*((Calculator!I90-Calculator!K$3)*10000)+Volatilities_Resets!$I79)),IF(I90&gt;=K$2,IF(I90&lt;L$2,(((Volatilities_Resets!$I79-Volatilities_Resets!$G79)/50)*((Calculator!I90-Calculator!K$2)*10000)+Volatilities_Resets!$G79)),"Well, something broke...")))))))))))/10000</f>
        <v>1.0723E-2</v>
      </c>
      <c r="L90" s="47">
        <f t="shared" ca="1" si="71"/>
        <v>36484.403727029719</v>
      </c>
      <c r="M90" s="63">
        <f t="shared" ca="1" si="72"/>
        <v>1.464755732344809E-3</v>
      </c>
      <c r="N90" s="63">
        <f t="shared" ca="1" si="55"/>
        <v>3459530.1370931244</v>
      </c>
      <c r="Q90" s="63">
        <f t="shared" ca="1" si="73"/>
        <v>103.10530374390829</v>
      </c>
      <c r="R90" s="63">
        <f ca="1">SUM($Q$15:Q90)</f>
        <v>5711.3496073011429</v>
      </c>
      <c r="T90" s="52">
        <f ca="1">EXP(-AVERAGE(J$15:J90)*G90)</f>
        <v>0.76664156825058194</v>
      </c>
      <c r="U90" s="57"/>
      <c r="V90" s="52">
        <f t="shared" ca="1" si="74"/>
        <v>76</v>
      </c>
      <c r="W90" s="71">
        <f t="shared" ca="1" si="75"/>
        <v>47474</v>
      </c>
      <c r="X90" s="71">
        <f t="shared" ca="1" si="57"/>
        <v>47505</v>
      </c>
      <c r="Y90" s="72">
        <f t="shared" ca="1" si="58"/>
        <v>31</v>
      </c>
      <c r="Z90" s="73">
        <f ca="1">SUM(Y$15:Y90)/360</f>
        <v>6.427777777777778</v>
      </c>
      <c r="AA90" s="74">
        <f t="shared" si="59"/>
        <v>25000000</v>
      </c>
      <c r="AB90" s="59">
        <f t="shared" si="76"/>
        <v>0.03</v>
      </c>
      <c r="AC90" s="57">
        <f>Volatilities_Resets!$E79*0.01</f>
        <v>3.7955100000000006E-2</v>
      </c>
      <c r="AD90" s="61">
        <f>IF(AB90=AE$11,Volatilities_Resets!$AA79,IF(AB90&gt;=AD$11,IF(AB90&lt;AE$11,(((Volatilities_Resets!$AA79-Volatilities_Resets!$Y79)/50)*((Calculator!AB90-Calculator!AD$11)*10000)+Volatilities_Resets!$Y79)),IF(AB90&gt;=AD$10,IF(AB90&lt;AE$10,(((Volatilities_Resets!$Y79-Volatilities_Resets!$W79)/50)*((Calculator!AB90-Calculator!AD$10)*10000)+Volatilities_Resets!$W79)),IF(AB90&gt;=AD$9,IF(AB90&lt;AE$9,(((Volatilities_Resets!$W79-Volatilities_Resets!$U79)/50)*((Calculator!AB90-Calculator!AD$9)*10000)+Volatilities_Resets!$U79)),IF(AB90&gt;=AD$8,IF(AB90&lt;AE$8,(((Volatilities_Resets!$U79-Volatilities_Resets!$S79)/50)*((Calculator!AB90-Calculator!AD$8)*10000)+Volatilities_Resets!$S79)),IF(AB90&gt;=AD$7,IF(AB90&lt;AE$7,(((Volatilities_Resets!$S79-Volatilities_Resets!$Q79)/50)*((Calculator!AB90-Calculator!AD$7)*10000)+Volatilities_Resets!$Q79)),IF(AB90&gt;=AD$6,IF(AB90&lt;AE$6,(((Volatilities_Resets!$Q79-Volatilities_Resets!$O79)/50)*((Calculator!AB90-Calculator!AD$6)*10000)+Volatilities_Resets!$O79)),IF(AB90&gt;=AD$5,IF(AB90&lt;AE$5,(((Volatilities_Resets!$O79-Volatilities_Resets!$M79)/50)*((Calculator!AB90-Calculator!AD$5)*10000)+Volatilities_Resets!$M79)),IF(AB90&gt;=AD$4,IF(AB90&lt;AE$4,(((Volatilities_Resets!$M79-Volatilities_Resets!$K79)/50)*((Calculator!AB90-Calculator!AD$4)*10000)+Volatilities_Resets!$K79)),IF(AB90&gt;=AD$3,IF(AB90&lt;AE$3,(((Volatilities_Resets!$K79-Volatilities_Resets!$I79)/50)*((Calculator!AB90-Calculator!AD$3)*10000)+Volatilities_Resets!$I79)),IF(AB90&gt;=AD$2,IF(AB90&lt;AE$2,(((Volatilities_Resets!$I79-Volatilities_Resets!$G79)/50)*((Calculator!AB90-Calculator!AD$2)*10000)+Volatilities_Resets!$G79)),"Well, something broke...")))))))))))/10000</f>
        <v>1.0902E-2</v>
      </c>
      <c r="AE90" s="63">
        <f t="shared" ca="1" si="77"/>
        <v>25511.782708415434</v>
      </c>
      <c r="AF90" s="63">
        <f t="shared" ca="1" si="78"/>
        <v>1.026879979491673E-3</v>
      </c>
      <c r="AG90" s="63">
        <f t="shared" ca="1" si="97"/>
        <v>2380011.4415778713</v>
      </c>
      <c r="AJ90" s="63">
        <f t="shared" ca="1" si="79"/>
        <v>122.82884261785313</v>
      </c>
      <c r="AK90" s="63">
        <f ca="1">SUM($AJ$15:AJ90)</f>
        <v>6935.4855671819578</v>
      </c>
      <c r="AM90" s="52">
        <f ca="1">EXP(-AVERAGE(AC$15:AC90)*Z90)</f>
        <v>0.76664156825058194</v>
      </c>
      <c r="AO90" s="52">
        <f t="shared" ca="1" si="80"/>
        <v>76</v>
      </c>
      <c r="AP90" s="71">
        <f t="shared" ca="1" si="81"/>
        <v>47474</v>
      </c>
      <c r="AQ90" s="71">
        <f t="shared" ca="1" si="60"/>
        <v>47505</v>
      </c>
      <c r="AR90" s="72">
        <f t="shared" ca="1" si="61"/>
        <v>31</v>
      </c>
      <c r="AS90" s="73">
        <f ca="1">SUM(AR$15:AR90)/360</f>
        <v>6.427777777777778</v>
      </c>
      <c r="AT90" s="74">
        <f t="shared" si="62"/>
        <v>25000000</v>
      </c>
      <c r="AU90" s="59">
        <f t="shared" si="82"/>
        <v>0.04</v>
      </c>
      <c r="AV90" s="57">
        <f>Volatilities_Resets!$E79*0.01</f>
        <v>3.7955100000000006E-2</v>
      </c>
      <c r="AW90" s="61">
        <f>IF(AU90=AX$11,Volatilities_Resets!$AA79,IF(AU90&gt;=AW$11,IF(AU90&lt;AX$11,(((Volatilities_Resets!$AA79-Volatilities_Resets!$Y79)/50)*((Calculator!AU90-Calculator!AW$11)*10000)+Volatilities_Resets!$Y79)),IF(AU90&gt;=AW$10,IF(AU90&lt;AX$10,(((Volatilities_Resets!$Y79-Volatilities_Resets!$W79)/50)*((Calculator!AU90-Calculator!AW$10)*10000)+Volatilities_Resets!$W79)),IF(AU90&gt;=AW$9,IF(AU90&lt;AX$9,(((Volatilities_Resets!$W79-Volatilities_Resets!$U79)/50)*((Calculator!AU90-Calculator!AW$9)*10000)+Volatilities_Resets!$U79)),IF(AU90&gt;=AW$8,IF(AU90&lt;AX$8,(((Volatilities_Resets!$U79-Volatilities_Resets!$S79)/50)*((Calculator!AU90-Calculator!AW$8)*10000)+Volatilities_Resets!$S79)),IF(AU90&gt;=AW$7,IF(AU90&lt;AX$7,(((Volatilities_Resets!$S79-Volatilities_Resets!$Q79)/50)*((Calculator!AU90-Calculator!AW$7)*10000)+Volatilities_Resets!$Q79)),IF(AU90&gt;=AW$6,IF(AU90&lt;AX$6,(((Volatilities_Resets!$Q79-Volatilities_Resets!$O79)/50)*((Calculator!AU90-Calculator!AW$6)*10000)+Volatilities_Resets!$O79)),IF(AU90&gt;=AW$5,IF(AU90&lt;AX$5,(((Volatilities_Resets!$O79-Volatilities_Resets!$M79)/50)*((Calculator!AU90-Calculator!AW$5)*10000)+Volatilities_Resets!$M79)),IF(AU90&gt;=AW$4,IF(AU90&lt;AX$4,(((Volatilities_Resets!$M79-Volatilities_Resets!$K79)/50)*((Calculator!AU90-Calculator!AW$4)*10000)+Volatilities_Resets!$K79)),IF(AU90&gt;=AW$3,IF(AU90&lt;AX$3,(((Volatilities_Resets!$K79-Volatilities_Resets!$I79)/50)*((Calculator!AU90-Calculator!AW$3)*10000)+Volatilities_Resets!$I79)),IF(AU90&gt;=AW$2,IF(AU90&lt;AX$2,(((Volatilities_Resets!$I79-Volatilities_Resets!$G79)/50)*((Calculator!AU90-Calculator!AW$2)*10000)+Volatilities_Resets!$G79)),"Well, something broke...")))))))))))/10000</f>
        <v>1.1320999999999999E-2</v>
      </c>
      <c r="AX90" s="63">
        <f t="shared" ca="1" si="83"/>
        <v>17258.525151106278</v>
      </c>
      <c r="AY90" s="63">
        <f t="shared" ca="1" si="84"/>
        <v>6.970013932954852E-4</v>
      </c>
      <c r="AZ90" s="63">
        <f t="shared" ca="1" si="98"/>
        <v>1459967.9822675693</v>
      </c>
      <c r="BC90" s="63">
        <f t="shared" ca="1" si="63"/>
        <v>127.653243186056</v>
      </c>
      <c r="BD90" s="63">
        <f ca="1">SUM($BC$15:BC90)</f>
        <v>7446.9014553675379</v>
      </c>
      <c r="BF90" s="52">
        <f ca="1">EXP(-AVERAGE(AV$15:AV90)*AS90)</f>
        <v>0.76664156825058194</v>
      </c>
      <c r="BH90" s="52">
        <f t="shared" ca="1" si="85"/>
        <v>76</v>
      </c>
      <c r="BI90" s="71">
        <f t="shared" ca="1" si="86"/>
        <v>47474</v>
      </c>
      <c r="BJ90" s="71">
        <f t="shared" ca="1" si="64"/>
        <v>47505</v>
      </c>
      <c r="BK90" s="72">
        <f t="shared" ca="1" si="65"/>
        <v>31</v>
      </c>
      <c r="BL90" s="73">
        <f ca="1">SUM(BK$15:BK90)/360</f>
        <v>6.427777777777778</v>
      </c>
      <c r="BM90" s="74">
        <f t="shared" si="66"/>
        <v>25000000</v>
      </c>
      <c r="BN90" s="59">
        <f t="shared" si="87"/>
        <v>0.05</v>
      </c>
      <c r="BO90" s="57">
        <f>Volatilities_Resets!$E79*0.01</f>
        <v>3.7955100000000006E-2</v>
      </c>
      <c r="BP90" s="61">
        <f>IF(BN90=BQ$11,Volatilities_Resets!$AA79,IF(BN90&gt;=BP$11,IF(BN90&lt;BQ$11,(((Volatilities_Resets!$AA79-Volatilities_Resets!$Y79)/50)*((Calculator!BN90-Calculator!BP$11)*10000)+Volatilities_Resets!$Y79)),IF(BN90&gt;=BP$10,IF(BN90&lt;BQ$10,(((Volatilities_Resets!$Y79-Volatilities_Resets!$W79)/50)*((Calculator!BN90-Calculator!BP$10)*10000)+Volatilities_Resets!$W79)),IF(BN90&gt;=BP$9,IF(BN90&lt;BQ$9,(((Volatilities_Resets!$W79-Volatilities_Resets!$U79)/50)*((Calculator!BN90-Calculator!BP$9)*10000)+Volatilities_Resets!$U79)),IF(BN90&gt;=BP$8,IF(BN90&lt;BQ$8,(((Volatilities_Resets!$U79-Volatilities_Resets!$S79)/50)*((Calculator!BN90-Calculator!BP$8)*10000)+Volatilities_Resets!$S79)),IF(BN90&gt;=BP$7,IF(BN90&lt;BQ$7,(((Volatilities_Resets!$S79-Volatilities_Resets!$Q79)/50)*((Calculator!BN90-Calculator!BP$7)*10000)+Volatilities_Resets!$Q79)),IF(BN90&gt;=BP$6,IF(BN90&lt;BQ$6,(((Volatilities_Resets!$Q79-Volatilities_Resets!$O79)/50)*((Calculator!BN90-Calculator!BP$6)*10000)+Volatilities_Resets!$O79)),IF(BN90&gt;=BP$5,IF(BN90&lt;BQ$5,(((Volatilities_Resets!$O79-Volatilities_Resets!$M79)/50)*((Calculator!BN90-Calculator!BP$5)*10000)+Volatilities_Resets!$M79)),IF(BN90&gt;=BP$4,IF(BN90&lt;BQ$4,(((Volatilities_Resets!$M79-Volatilities_Resets!$K79)/50)*((Calculator!BN90-Calculator!BP$4)*10000)+Volatilities_Resets!$K79)),IF(BN90&gt;=BP$3,IF(BN90&lt;BQ$3,(((Volatilities_Resets!$K79-Volatilities_Resets!$I79)/50)*((Calculator!BN90-Calculator!BP$3)*10000)+Volatilities_Resets!$I79)),IF(BN90&gt;=BP$2,IF(BN90&lt;BQ$2,(((Volatilities_Resets!$I79-Volatilities_Resets!$G79)/50)*((Calculator!BN90-Calculator!BP$2)*10000)+Volatilities_Resets!$G79)),"Well, something broke...")))))))))))/10000</f>
        <v>1.1968000000000001E-2</v>
      </c>
      <c r="BQ90" s="63">
        <f t="shared" ca="1" si="88"/>
        <v>11592.297767758784</v>
      </c>
      <c r="BR90" s="63">
        <f t="shared" ca="1" si="89"/>
        <v>4.6986720218210375E-4</v>
      </c>
      <c r="BS90" s="63">
        <f t="shared" ca="1" si="99"/>
        <v>768294.2495114276</v>
      </c>
      <c r="BV90" s="63">
        <f t="shared" ca="1" si="90"/>
        <v>118.35587845771686</v>
      </c>
      <c r="BW90" s="63">
        <f ca="1">SUM($BV$15:BV90)</f>
        <v>7148.7898397073723</v>
      </c>
      <c r="BY90" s="52">
        <f ca="1">EXP(-AVERAGE(BO$15:BO90)*BL90)</f>
        <v>0.76664156825058194</v>
      </c>
      <c r="CA90" s="52">
        <f t="shared" ca="1" si="91"/>
        <v>76</v>
      </c>
      <c r="CB90" s="71">
        <f t="shared" ca="1" si="92"/>
        <v>47474</v>
      </c>
      <c r="CC90" s="71">
        <f t="shared" ca="1" si="67"/>
        <v>47505</v>
      </c>
      <c r="CD90" s="72">
        <f t="shared" ca="1" si="68"/>
        <v>31</v>
      </c>
      <c r="CE90" s="73">
        <f ca="1">SUM(CD$15:CD90)/360</f>
        <v>6.427777777777778</v>
      </c>
      <c r="CF90" s="74">
        <f t="shared" si="69"/>
        <v>25000000</v>
      </c>
      <c r="CG90" s="59">
        <f t="shared" si="93"/>
        <v>0.06</v>
      </c>
      <c r="CH90" s="57">
        <f>Volatilities_Resets!$E79*0.01</f>
        <v>3.7955100000000006E-2</v>
      </c>
      <c r="CI90" s="61">
        <f>IF(CG90=CJ$11,Volatilities_Resets!$AA79,IF(CG90&gt;=CI$11,IF(CG90&lt;CJ$11,(((Volatilities_Resets!$AA79-Volatilities_Resets!$Y79)/50)*((Calculator!CG90-Calculator!CI$11)*10000)+Volatilities_Resets!$Y79)),IF(CG90&gt;=CI$10,IF(CG90&lt;CJ$10,(((Volatilities_Resets!$Y79-Volatilities_Resets!$W79)/50)*((Calculator!CG90-Calculator!CI$10)*10000)+Volatilities_Resets!$W79)),IF(CG90&gt;=CI$9,IF(CG90&lt;CJ$9,(((Volatilities_Resets!$W79-Volatilities_Resets!$U79)/50)*((Calculator!CG90-Calculator!CI$9)*10000)+Volatilities_Resets!$U79)),IF(CG90&gt;=CI$8,IF(CG90&lt;CJ$8,(((Volatilities_Resets!$U79-Volatilities_Resets!$S79)/50)*((Calculator!CG90-Calculator!CI$8)*10000)+Volatilities_Resets!$S79)),IF(CG90&gt;=CI$7,IF(CG90&lt;CJ$7,(((Volatilities_Resets!$S79-Volatilities_Resets!$Q79)/50)*((Calculator!CG90-Calculator!CI$7)*10000)+Volatilities_Resets!$Q79)),IF(CG90&gt;=CI$6,IF(CG90&lt;CJ$6,(((Volatilities_Resets!$Q79-Volatilities_Resets!$O79)/50)*((Calculator!CG90-Calculator!CI$6)*10000)+Volatilities_Resets!$O79)),IF(CG90&gt;=CI$5,IF(CG90&lt;CJ$5,(((Volatilities_Resets!$O79-Volatilities_Resets!$M79)/50)*((Calculator!CG90-Calculator!CI$5)*10000)+Volatilities_Resets!$M79)),IF(CG90&gt;=CI$4,IF(CG90&lt;CJ$4,(((Volatilities_Resets!$M79-Volatilities_Resets!$K79)/50)*((Calculator!CG90-Calculator!CI$4)*10000)+Volatilities_Resets!$K79)),IF(CG90&gt;=CI$3,IF(CG90&lt;CJ$3,(((Volatilities_Resets!$K79-Volatilities_Resets!$I79)/50)*((Calculator!CG90-Calculator!CI$3)*10000)+Volatilities_Resets!$I79)),IF(CG90&gt;=CI$2,IF(CG90&lt;CJ$2,(((Volatilities_Resets!$I79-Volatilities_Resets!$G79)/50)*((Calculator!CG90-Calculator!CI$2)*10000)+Volatilities_Resets!$G79)),"Well, something broke...")))))))))))/10000</f>
        <v>1.2784999999999999E-2</v>
      </c>
      <c r="CJ90" s="63">
        <f t="shared" ca="1" si="94"/>
        <v>7904.3237539460197</v>
      </c>
      <c r="CK90" s="63">
        <f t="shared" ca="1" si="95"/>
        <v>3.2148095651069191E-4</v>
      </c>
      <c r="CL90" s="63">
        <f t="shared" ca="1" si="100"/>
        <v>395318.88414454245</v>
      </c>
      <c r="CO90" s="63">
        <f t="shared" ca="1" si="96"/>
        <v>101.73345786584581</v>
      </c>
      <c r="CP90" s="63">
        <f ca="1">SUM($CO$15:CO90)</f>
        <v>5634.2171649606516</v>
      </c>
      <c r="CR90" s="52">
        <f ca="1">EXP(-AVERAGE(CH$15:CH90)*CE90)</f>
        <v>0.76664156825058194</v>
      </c>
      <c r="CT90"/>
      <c r="CU90"/>
      <c r="CV90"/>
      <c r="CW90"/>
      <c r="CX90"/>
      <c r="CY90"/>
      <c r="CZ90"/>
      <c r="DA90"/>
      <c r="DB90"/>
      <c r="DC90"/>
      <c r="DD90"/>
      <c r="DE90"/>
      <c r="DF90"/>
      <c r="DG90"/>
      <c r="DH90"/>
      <c r="DI90"/>
      <c r="DJ90"/>
      <c r="DK90"/>
      <c r="DL90"/>
    </row>
    <row r="91" spans="2:116" ht="15.75" customHeight="1" x14ac:dyDescent="0.2">
      <c r="B91" s="52">
        <v>7</v>
      </c>
      <c r="C91" s="52">
        <f t="shared" ca="1" si="52"/>
        <v>77</v>
      </c>
      <c r="D91" s="71">
        <f t="shared" ca="1" si="70"/>
        <v>47505</v>
      </c>
      <c r="E91" s="71">
        <f t="shared" ca="1" si="53"/>
        <v>47536</v>
      </c>
      <c r="F91" s="72">
        <f t="shared" ca="1" si="54"/>
        <v>31</v>
      </c>
      <c r="G91" s="73">
        <f ca="1">SUM($F$15:F91)/360</f>
        <v>6.5138888888888893</v>
      </c>
      <c r="H91" s="74">
        <f t="shared" si="56"/>
        <v>25000000</v>
      </c>
      <c r="I91" s="59">
        <f>IF('Cap Pricer'!$E$22=DataValidation!$C$2,'Cap Pricer'!$E$23,IF('Cap Pricer'!$E$22=DataValidation!$C$3,VLOOKUP($B91,'Cap Pricer'!$C$25:$E$31,3),""))</f>
        <v>0.02</v>
      </c>
      <c r="J91" s="57">
        <f>Volatilities_Resets!$E80*0.01</f>
        <v>3.7955100000000006E-2</v>
      </c>
      <c r="K91" s="61">
        <f>IF(I91=L$11,Volatilities_Resets!$AA80,IF(I91&gt;=K$11,IF(I91&lt;L$11,(((Volatilities_Resets!$AA80-Volatilities_Resets!$Y80)/50)*((Calculator!I91-Calculator!K$11)*10000)+Volatilities_Resets!$Y80)),IF(I91&gt;=K$10,IF(I91&lt;L$10,(((Volatilities_Resets!$Y80-Volatilities_Resets!$W80)/50)*((Calculator!I91-Calculator!K$10)*10000)+Volatilities_Resets!$W80)),IF(I91&gt;=K$9,IF(I91&lt;L$9,(((Volatilities_Resets!$W80-Volatilities_Resets!$U80)/50)*((Calculator!I91-Calculator!K$9)*10000)+Volatilities_Resets!$U80)),IF(I91&gt;=K$8,IF(I91&lt;L$8,(((Volatilities_Resets!$U80-Volatilities_Resets!$S80)/50)*((Calculator!I91-Calculator!K$8)*10000)+Volatilities_Resets!$S80)),IF(I91&gt;=K$7,IF(I91&lt;L$7,(((Volatilities_Resets!$S80-Volatilities_Resets!$Q80)/50)*((Calculator!I91-Calculator!K$7)*10000)+Volatilities_Resets!$Q80)),IF(I91&gt;=K$6,IF(I91&lt;L$6,(((Volatilities_Resets!$Q80-Volatilities_Resets!$O80)/50)*((Calculator!I91-Calculator!K$6)*10000)+Volatilities_Resets!$O80)),IF(I91&gt;=K$5,IF(I91&lt;L$5,(((Volatilities_Resets!$O80-Volatilities_Resets!$M80)/50)*((Calculator!I91-Calculator!K$5)*10000)+Volatilities_Resets!$M80)),IF(I91&gt;=K$4,IF(I91&lt;L$4,(((Volatilities_Resets!$M80-Volatilities_Resets!$K80)/50)*((Calculator!I91-Calculator!K$4)*10000)+Volatilities_Resets!$K80)),IF(I91&gt;=K$3,IF(I91&lt;L$3,(((Volatilities_Resets!$K80-Volatilities_Resets!$I80)/50)*((Calculator!I91-Calculator!K$3)*10000)+Volatilities_Resets!$I80)),IF(I91&gt;=K$2,IF(I91&lt;L$2,(((Volatilities_Resets!$I80-Volatilities_Resets!$G80)/50)*((Calculator!I91-Calculator!K$2)*10000)+Volatilities_Resets!$G80)),"Well, something broke...")))))))))))/10000</f>
        <v>1.0723E-2</v>
      </c>
      <c r="L91" s="47">
        <f t="shared" ca="1" si="71"/>
        <v>36461.076288473363</v>
      </c>
      <c r="M91" s="63">
        <f t="shared" ca="1" si="72"/>
        <v>1.4638562916689396E-3</v>
      </c>
      <c r="N91" s="63">
        <f t="shared" ca="1" si="55"/>
        <v>3495991.2133815978</v>
      </c>
      <c r="Q91" s="63">
        <f t="shared" ca="1" si="73"/>
        <v>103.41130232215939</v>
      </c>
      <c r="R91" s="63">
        <f ca="1">SUM($Q$15:Q91)</f>
        <v>5814.7609096233027</v>
      </c>
      <c r="T91" s="52">
        <f ca="1">EXP(-AVERAGE(J$15:J91)*G91)</f>
        <v>0.76413607997149269</v>
      </c>
      <c r="U91" s="57"/>
      <c r="V91" s="52">
        <f t="shared" ca="1" si="74"/>
        <v>77</v>
      </c>
      <c r="W91" s="71">
        <f t="shared" ca="1" si="75"/>
        <v>47505</v>
      </c>
      <c r="X91" s="71">
        <f t="shared" ca="1" si="57"/>
        <v>47536</v>
      </c>
      <c r="Y91" s="72">
        <f t="shared" ca="1" si="58"/>
        <v>31</v>
      </c>
      <c r="Z91" s="73">
        <f ca="1">SUM(Y$15:Y91)/360</f>
        <v>6.5138888888888893</v>
      </c>
      <c r="AA91" s="74">
        <f t="shared" si="59"/>
        <v>25000000</v>
      </c>
      <c r="AB91" s="59">
        <f t="shared" si="76"/>
        <v>0.03</v>
      </c>
      <c r="AC91" s="57">
        <f>Volatilities_Resets!$E80*0.01</f>
        <v>3.7955100000000006E-2</v>
      </c>
      <c r="AD91" s="61">
        <f>IF(AB91=AE$11,Volatilities_Resets!$AA80,IF(AB91&gt;=AD$11,IF(AB91&lt;AE$11,(((Volatilities_Resets!$AA80-Volatilities_Resets!$Y80)/50)*((Calculator!AB91-Calculator!AD$11)*10000)+Volatilities_Resets!$Y80)),IF(AB91&gt;=AD$10,IF(AB91&lt;AE$10,(((Volatilities_Resets!$Y80-Volatilities_Resets!$W80)/50)*((Calculator!AB91-Calculator!AD$10)*10000)+Volatilities_Resets!$W80)),IF(AB91&gt;=AD$9,IF(AB91&lt;AE$9,(((Volatilities_Resets!$W80-Volatilities_Resets!$U80)/50)*((Calculator!AB91-Calculator!AD$9)*10000)+Volatilities_Resets!$U80)),IF(AB91&gt;=AD$8,IF(AB91&lt;AE$8,(((Volatilities_Resets!$U80-Volatilities_Resets!$S80)/50)*((Calculator!AB91-Calculator!AD$8)*10000)+Volatilities_Resets!$S80)),IF(AB91&gt;=AD$7,IF(AB91&lt;AE$7,(((Volatilities_Resets!$S80-Volatilities_Resets!$Q80)/50)*((Calculator!AB91-Calculator!AD$7)*10000)+Volatilities_Resets!$Q80)),IF(AB91&gt;=AD$6,IF(AB91&lt;AE$6,(((Volatilities_Resets!$Q80-Volatilities_Resets!$O80)/50)*((Calculator!AB91-Calculator!AD$6)*10000)+Volatilities_Resets!$O80)),IF(AB91&gt;=AD$5,IF(AB91&lt;AE$5,(((Volatilities_Resets!$O80-Volatilities_Resets!$M80)/50)*((Calculator!AB91-Calculator!AD$5)*10000)+Volatilities_Resets!$M80)),IF(AB91&gt;=AD$4,IF(AB91&lt;AE$4,(((Volatilities_Resets!$M80-Volatilities_Resets!$K80)/50)*((Calculator!AB91-Calculator!AD$4)*10000)+Volatilities_Resets!$K80)),IF(AB91&gt;=AD$3,IF(AB91&lt;AE$3,(((Volatilities_Resets!$K80-Volatilities_Resets!$I80)/50)*((Calculator!AB91-Calculator!AD$3)*10000)+Volatilities_Resets!$I80)),IF(AB91&gt;=AD$2,IF(AB91&lt;AE$2,(((Volatilities_Resets!$I80-Volatilities_Resets!$G80)/50)*((Calculator!AB91-Calculator!AD$2)*10000)+Volatilities_Resets!$G80)),"Well, something broke...")))))))))))/10000</f>
        <v>1.0902E-2</v>
      </c>
      <c r="AE91" s="63">
        <f t="shared" ca="1" si="77"/>
        <v>25544.623677436171</v>
      </c>
      <c r="AF91" s="63">
        <f t="shared" ca="1" si="78"/>
        <v>1.0282188085324127E-3</v>
      </c>
      <c r="AG91" s="63">
        <f t="shared" ca="1" si="97"/>
        <v>2405556.0652553076</v>
      </c>
      <c r="AJ91" s="63">
        <f t="shared" ca="1" si="79"/>
        <v>122.90864139986344</v>
      </c>
      <c r="AK91" s="63">
        <f ca="1">SUM($AJ$15:AJ91)</f>
        <v>7058.3942085818217</v>
      </c>
      <c r="AM91" s="52">
        <f ca="1">EXP(-AVERAGE(AC$15:AC91)*Z91)</f>
        <v>0.76413607997149269</v>
      </c>
      <c r="AO91" s="52">
        <f t="shared" ca="1" si="80"/>
        <v>77</v>
      </c>
      <c r="AP91" s="71">
        <f t="shared" ca="1" si="81"/>
        <v>47505</v>
      </c>
      <c r="AQ91" s="71">
        <f t="shared" ca="1" si="60"/>
        <v>47536</v>
      </c>
      <c r="AR91" s="72">
        <f t="shared" ca="1" si="61"/>
        <v>31</v>
      </c>
      <c r="AS91" s="73">
        <f ca="1">SUM(AR$15:AR91)/360</f>
        <v>6.5138888888888893</v>
      </c>
      <c r="AT91" s="74">
        <f t="shared" si="62"/>
        <v>25000000</v>
      </c>
      <c r="AU91" s="59">
        <f t="shared" si="82"/>
        <v>0.04</v>
      </c>
      <c r="AV91" s="57">
        <f>Volatilities_Resets!$E80*0.01</f>
        <v>3.7955100000000006E-2</v>
      </c>
      <c r="AW91" s="61">
        <f>IF(AU91=AX$11,Volatilities_Resets!$AA80,IF(AU91&gt;=AW$11,IF(AU91&lt;AX$11,(((Volatilities_Resets!$AA80-Volatilities_Resets!$Y80)/50)*((Calculator!AU91-Calculator!AW$11)*10000)+Volatilities_Resets!$Y80)),IF(AU91&gt;=AW$10,IF(AU91&lt;AX$10,(((Volatilities_Resets!$Y80-Volatilities_Resets!$W80)/50)*((Calculator!AU91-Calculator!AW$10)*10000)+Volatilities_Resets!$W80)),IF(AU91&gt;=AW$9,IF(AU91&lt;AX$9,(((Volatilities_Resets!$W80-Volatilities_Resets!$U80)/50)*((Calculator!AU91-Calculator!AW$9)*10000)+Volatilities_Resets!$U80)),IF(AU91&gt;=AW$8,IF(AU91&lt;AX$8,(((Volatilities_Resets!$U80-Volatilities_Resets!$S80)/50)*((Calculator!AU91-Calculator!AW$8)*10000)+Volatilities_Resets!$S80)),IF(AU91&gt;=AW$7,IF(AU91&lt;AX$7,(((Volatilities_Resets!$S80-Volatilities_Resets!$Q80)/50)*((Calculator!AU91-Calculator!AW$7)*10000)+Volatilities_Resets!$Q80)),IF(AU91&gt;=AW$6,IF(AU91&lt;AX$6,(((Volatilities_Resets!$Q80-Volatilities_Resets!$O80)/50)*((Calculator!AU91-Calculator!AW$6)*10000)+Volatilities_Resets!$O80)),IF(AU91&gt;=AW$5,IF(AU91&lt;AX$5,(((Volatilities_Resets!$O80-Volatilities_Resets!$M80)/50)*((Calculator!AU91-Calculator!AW$5)*10000)+Volatilities_Resets!$M80)),IF(AU91&gt;=AW$4,IF(AU91&lt;AX$4,(((Volatilities_Resets!$M80-Volatilities_Resets!$K80)/50)*((Calculator!AU91-Calculator!AW$4)*10000)+Volatilities_Resets!$K80)),IF(AU91&gt;=AW$3,IF(AU91&lt;AX$3,(((Volatilities_Resets!$K80-Volatilities_Resets!$I80)/50)*((Calculator!AU91-Calculator!AW$3)*10000)+Volatilities_Resets!$I80)),IF(AU91&gt;=AW$2,IF(AU91&lt;AX$2,(((Volatilities_Resets!$I80-Volatilities_Resets!$G80)/50)*((Calculator!AU91-Calculator!AW$2)*10000)+Volatilities_Resets!$G80)),"Well, something broke...")))))))))))/10000</f>
        <v>1.1320999999999999E-2</v>
      </c>
      <c r="AX91" s="63">
        <f t="shared" ca="1" si="83"/>
        <v>17327.557712952119</v>
      </c>
      <c r="AY91" s="63">
        <f t="shared" ca="1" si="84"/>
        <v>6.9978547089383399E-4</v>
      </c>
      <c r="AZ91" s="63">
        <f t="shared" ca="1" si="98"/>
        <v>1477295.5399805214</v>
      </c>
      <c r="BC91" s="63">
        <f t="shared" ca="1" si="63"/>
        <v>127.67113749044883</v>
      </c>
      <c r="BD91" s="63">
        <f ca="1">SUM($BC$15:BC91)</f>
        <v>7574.5725928579868</v>
      </c>
      <c r="BF91" s="52">
        <f ca="1">EXP(-AVERAGE(AV$15:AV91)*AS91)</f>
        <v>0.76413607997149269</v>
      </c>
      <c r="BH91" s="52">
        <f t="shared" ca="1" si="85"/>
        <v>77</v>
      </c>
      <c r="BI91" s="71">
        <f t="shared" ca="1" si="86"/>
        <v>47505</v>
      </c>
      <c r="BJ91" s="71">
        <f t="shared" ca="1" si="64"/>
        <v>47536</v>
      </c>
      <c r="BK91" s="72">
        <f t="shared" ca="1" si="65"/>
        <v>31</v>
      </c>
      <c r="BL91" s="73">
        <f ca="1">SUM(BK$15:BK91)/360</f>
        <v>6.5138888888888893</v>
      </c>
      <c r="BM91" s="74">
        <f t="shared" si="66"/>
        <v>25000000</v>
      </c>
      <c r="BN91" s="59">
        <f t="shared" si="87"/>
        <v>0.05</v>
      </c>
      <c r="BO91" s="57">
        <f>Volatilities_Resets!$E80*0.01</f>
        <v>3.7955100000000006E-2</v>
      </c>
      <c r="BP91" s="61">
        <f>IF(BN91=BQ$11,Volatilities_Resets!$AA80,IF(BN91&gt;=BP$11,IF(BN91&lt;BQ$11,(((Volatilities_Resets!$AA80-Volatilities_Resets!$Y80)/50)*((Calculator!BN91-Calculator!BP$11)*10000)+Volatilities_Resets!$Y80)),IF(BN91&gt;=BP$10,IF(BN91&lt;BQ$10,(((Volatilities_Resets!$Y80-Volatilities_Resets!$W80)/50)*((Calculator!BN91-Calculator!BP$10)*10000)+Volatilities_Resets!$W80)),IF(BN91&gt;=BP$9,IF(BN91&lt;BQ$9,(((Volatilities_Resets!$W80-Volatilities_Resets!$U80)/50)*((Calculator!BN91-Calculator!BP$9)*10000)+Volatilities_Resets!$U80)),IF(BN91&gt;=BP$8,IF(BN91&lt;BQ$8,(((Volatilities_Resets!$U80-Volatilities_Resets!$S80)/50)*((Calculator!BN91-Calculator!BP$8)*10000)+Volatilities_Resets!$S80)),IF(BN91&gt;=BP$7,IF(BN91&lt;BQ$7,(((Volatilities_Resets!$S80-Volatilities_Resets!$Q80)/50)*((Calculator!BN91-Calculator!BP$7)*10000)+Volatilities_Resets!$Q80)),IF(BN91&gt;=BP$6,IF(BN91&lt;BQ$6,(((Volatilities_Resets!$Q80-Volatilities_Resets!$O80)/50)*((Calculator!BN91-Calculator!BP$6)*10000)+Volatilities_Resets!$O80)),IF(BN91&gt;=BP$5,IF(BN91&lt;BQ$5,(((Volatilities_Resets!$O80-Volatilities_Resets!$M80)/50)*((Calculator!BN91-Calculator!BP$5)*10000)+Volatilities_Resets!$M80)),IF(BN91&gt;=BP$4,IF(BN91&lt;BQ$4,(((Volatilities_Resets!$M80-Volatilities_Resets!$K80)/50)*((Calculator!BN91-Calculator!BP$4)*10000)+Volatilities_Resets!$K80)),IF(BN91&gt;=BP$3,IF(BN91&lt;BQ$3,(((Volatilities_Resets!$K80-Volatilities_Resets!$I80)/50)*((Calculator!BN91-Calculator!BP$3)*10000)+Volatilities_Resets!$I80)),IF(BN91&gt;=BP$2,IF(BN91&lt;BQ$2,(((Volatilities_Resets!$I80-Volatilities_Resets!$G80)/50)*((Calculator!BN91-Calculator!BP$2)*10000)+Volatilities_Resets!$G80)),"Well, something broke...")))))))))))/10000</f>
        <v>1.1968000000000001E-2</v>
      </c>
      <c r="BQ91" s="63">
        <f t="shared" ca="1" si="88"/>
        <v>11677.34368982261</v>
      </c>
      <c r="BR91" s="63">
        <f t="shared" ca="1" si="89"/>
        <v>4.7329635297417799E-4</v>
      </c>
      <c r="BS91" s="63">
        <f t="shared" ca="1" si="99"/>
        <v>779971.59320125019</v>
      </c>
      <c r="BV91" s="63">
        <f t="shared" ca="1" si="90"/>
        <v>118.49086404141261</v>
      </c>
      <c r="BW91" s="63">
        <f ca="1">SUM($BV$15:BV91)</f>
        <v>7267.2807037487846</v>
      </c>
      <c r="BY91" s="52">
        <f ca="1">EXP(-AVERAGE(BO$15:BO91)*BL91)</f>
        <v>0.76413607997149269</v>
      </c>
      <c r="CA91" s="52">
        <f t="shared" ca="1" si="91"/>
        <v>77</v>
      </c>
      <c r="CB91" s="71">
        <f t="shared" ca="1" si="92"/>
        <v>47505</v>
      </c>
      <c r="CC91" s="71">
        <f t="shared" ca="1" si="67"/>
        <v>47536</v>
      </c>
      <c r="CD91" s="72">
        <f t="shared" ca="1" si="68"/>
        <v>31</v>
      </c>
      <c r="CE91" s="73">
        <f ca="1">SUM(CD$15:CD91)/360</f>
        <v>6.5138888888888893</v>
      </c>
      <c r="CF91" s="74">
        <f t="shared" si="69"/>
        <v>25000000</v>
      </c>
      <c r="CG91" s="59">
        <f t="shared" si="93"/>
        <v>0.06</v>
      </c>
      <c r="CH91" s="57">
        <f>Volatilities_Resets!$E80*0.01</f>
        <v>3.7955100000000006E-2</v>
      </c>
      <c r="CI91" s="61">
        <f>IF(CG91=CJ$11,Volatilities_Resets!$AA80,IF(CG91&gt;=CI$11,IF(CG91&lt;CJ$11,(((Volatilities_Resets!$AA80-Volatilities_Resets!$Y80)/50)*((Calculator!CG91-Calculator!CI$11)*10000)+Volatilities_Resets!$Y80)),IF(CG91&gt;=CI$10,IF(CG91&lt;CJ$10,(((Volatilities_Resets!$Y80-Volatilities_Resets!$W80)/50)*((Calculator!CG91-Calculator!CI$10)*10000)+Volatilities_Resets!$W80)),IF(CG91&gt;=CI$9,IF(CG91&lt;CJ$9,(((Volatilities_Resets!$W80-Volatilities_Resets!$U80)/50)*((Calculator!CG91-Calculator!CI$9)*10000)+Volatilities_Resets!$U80)),IF(CG91&gt;=CI$8,IF(CG91&lt;CJ$8,(((Volatilities_Resets!$U80-Volatilities_Resets!$S80)/50)*((Calculator!CG91-Calculator!CI$8)*10000)+Volatilities_Resets!$S80)),IF(CG91&gt;=CI$7,IF(CG91&lt;CJ$7,(((Volatilities_Resets!$S80-Volatilities_Resets!$Q80)/50)*((Calculator!CG91-Calculator!CI$7)*10000)+Volatilities_Resets!$Q80)),IF(CG91&gt;=CI$6,IF(CG91&lt;CJ$6,(((Volatilities_Resets!$Q80-Volatilities_Resets!$O80)/50)*((Calculator!CG91-Calculator!CI$6)*10000)+Volatilities_Resets!$O80)),IF(CG91&gt;=CI$5,IF(CG91&lt;CJ$5,(((Volatilities_Resets!$O80-Volatilities_Resets!$M80)/50)*((Calculator!CG91-Calculator!CI$5)*10000)+Volatilities_Resets!$M80)),IF(CG91&gt;=CI$4,IF(CG91&lt;CJ$4,(((Volatilities_Resets!$M80-Volatilities_Resets!$K80)/50)*((Calculator!CG91-Calculator!CI$4)*10000)+Volatilities_Resets!$K80)),IF(CG91&gt;=CI$3,IF(CG91&lt;CJ$3,(((Volatilities_Resets!$K80-Volatilities_Resets!$I80)/50)*((Calculator!CG91-Calculator!CI$3)*10000)+Volatilities_Resets!$I80)),IF(CG91&gt;=CI$2,IF(CG91&lt;CJ$2,(((Volatilities_Resets!$I80-Volatilities_Resets!$G80)/50)*((Calculator!CG91-Calculator!CI$2)*10000)+Volatilities_Resets!$G80)),"Well, something broke...")))))))))))/10000</f>
        <v>1.2784999999999999E-2</v>
      </c>
      <c r="CJ91" s="63">
        <f t="shared" ca="1" si="94"/>
        <v>7991.3560494717976</v>
      </c>
      <c r="CK91" s="63">
        <f t="shared" ca="1" si="95"/>
        <v>3.2499640325380744E-4</v>
      </c>
      <c r="CL91" s="63">
        <f t="shared" ca="1" si="100"/>
        <v>403310.24019401427</v>
      </c>
      <c r="CO91" s="63">
        <f t="shared" ca="1" si="96"/>
        <v>102.05345438011906</v>
      </c>
      <c r="CP91" s="63">
        <f ca="1">SUM($CO$15:CO91)</f>
        <v>5736.2706193407703</v>
      </c>
      <c r="CR91" s="52">
        <f ca="1">EXP(-AVERAGE(CH$15:CH91)*CE91)</f>
        <v>0.76413607997149269</v>
      </c>
      <c r="CT91"/>
      <c r="CU91"/>
      <c r="CV91"/>
      <c r="CW91"/>
      <c r="CX91"/>
      <c r="CY91"/>
      <c r="CZ91"/>
      <c r="DA91"/>
      <c r="DB91"/>
      <c r="DC91"/>
      <c r="DD91"/>
      <c r="DE91"/>
      <c r="DF91"/>
      <c r="DG91"/>
      <c r="DH91"/>
      <c r="DI91"/>
      <c r="DJ91"/>
      <c r="DK91"/>
      <c r="DL91"/>
    </row>
    <row r="92" spans="2:116" ht="15.75" customHeight="1" x14ac:dyDescent="0.2">
      <c r="B92" s="52">
        <v>7</v>
      </c>
      <c r="C92" s="52">
        <f t="shared" ca="1" si="52"/>
        <v>78</v>
      </c>
      <c r="D92" s="71">
        <f t="shared" ca="1" si="70"/>
        <v>47536</v>
      </c>
      <c r="E92" s="71">
        <f t="shared" ca="1" si="53"/>
        <v>47564</v>
      </c>
      <c r="F92" s="72">
        <f t="shared" ca="1" si="54"/>
        <v>28</v>
      </c>
      <c r="G92" s="73">
        <f ca="1">SUM($F$15:F92)/360</f>
        <v>6.5916666666666668</v>
      </c>
      <c r="H92" s="74">
        <f t="shared" si="56"/>
        <v>25000000</v>
      </c>
      <c r="I92" s="59">
        <f>IF('Cap Pricer'!$E$22=DataValidation!$C$2,'Cap Pricer'!$E$23,IF('Cap Pricer'!$E$22=DataValidation!$C$3,VLOOKUP($B92,'Cap Pricer'!$C$25:$E$31,3),""))</f>
        <v>0.02</v>
      </c>
      <c r="J92" s="57">
        <f>Volatilities_Resets!$E81*0.01</f>
        <v>3.7947099999999997E-2</v>
      </c>
      <c r="K92" s="61">
        <f>IF(I92=L$11,Volatilities_Resets!$AA81,IF(I92&gt;=K$11,IF(I92&lt;L$11,(((Volatilities_Resets!$AA81-Volatilities_Resets!$Y81)/50)*((Calculator!I92-Calculator!K$11)*10000)+Volatilities_Resets!$Y81)),IF(I92&gt;=K$10,IF(I92&lt;L$10,(((Volatilities_Resets!$Y81-Volatilities_Resets!$W81)/50)*((Calculator!I92-Calculator!K$10)*10000)+Volatilities_Resets!$W81)),IF(I92&gt;=K$9,IF(I92&lt;L$9,(((Volatilities_Resets!$W81-Volatilities_Resets!$U81)/50)*((Calculator!I92-Calculator!K$9)*10000)+Volatilities_Resets!$U81)),IF(I92&gt;=K$8,IF(I92&lt;L$8,(((Volatilities_Resets!$U81-Volatilities_Resets!$S81)/50)*((Calculator!I92-Calculator!K$8)*10000)+Volatilities_Resets!$S81)),IF(I92&gt;=K$7,IF(I92&lt;L$7,(((Volatilities_Resets!$S81-Volatilities_Resets!$Q81)/50)*((Calculator!I92-Calculator!K$7)*10000)+Volatilities_Resets!$Q81)),IF(I92&gt;=K$6,IF(I92&lt;L$6,(((Volatilities_Resets!$Q81-Volatilities_Resets!$O81)/50)*((Calculator!I92-Calculator!K$6)*10000)+Volatilities_Resets!$O81)),IF(I92&gt;=K$5,IF(I92&lt;L$5,(((Volatilities_Resets!$O81-Volatilities_Resets!$M81)/50)*((Calculator!I92-Calculator!K$5)*10000)+Volatilities_Resets!$M81)),IF(I92&gt;=K$4,IF(I92&lt;L$4,(((Volatilities_Resets!$M81-Volatilities_Resets!$K81)/50)*((Calculator!I92-Calculator!K$4)*10000)+Volatilities_Resets!$K81)),IF(I92&gt;=K$3,IF(I92&lt;L$3,(((Volatilities_Resets!$K81-Volatilities_Resets!$I81)/50)*((Calculator!I92-Calculator!K$3)*10000)+Volatilities_Resets!$I81)),IF(I92&gt;=K$2,IF(I92&lt;L$2,(((Volatilities_Resets!$I81-Volatilities_Resets!$G81)/50)*((Calculator!I92-Calculator!K$2)*10000)+Volatilities_Resets!$G81)),"Well, something broke...")))))))))))/10000</f>
        <v>1.0723999999999999E-2</v>
      </c>
      <c r="L92" s="47">
        <f t="shared" ca="1" si="71"/>
        <v>32906.429499427555</v>
      </c>
      <c r="M92" s="63">
        <f t="shared" ca="1" si="72"/>
        <v>1.3211747463507319E-3</v>
      </c>
      <c r="N92" s="63">
        <f t="shared" ca="1" si="55"/>
        <v>3528897.6428810256</v>
      </c>
      <c r="Q92" s="63">
        <f t="shared" ca="1" si="73"/>
        <v>93.667503496538927</v>
      </c>
      <c r="R92" s="63">
        <f ca="1">SUM($Q$15:Q92)</f>
        <v>5908.4284131198419</v>
      </c>
      <c r="T92" s="52">
        <f ca="1">EXP(-AVERAGE(J$15:J92)*G92)</f>
        <v>0.76190128514646649</v>
      </c>
      <c r="U92" s="57"/>
      <c r="V92" s="52">
        <f t="shared" ca="1" si="74"/>
        <v>78</v>
      </c>
      <c r="W92" s="71">
        <f t="shared" ca="1" si="75"/>
        <v>47536</v>
      </c>
      <c r="X92" s="71">
        <f t="shared" ca="1" si="57"/>
        <v>47564</v>
      </c>
      <c r="Y92" s="72">
        <f t="shared" ca="1" si="58"/>
        <v>28</v>
      </c>
      <c r="Z92" s="73">
        <f ca="1">SUM(Y$15:Y92)/360</f>
        <v>6.5916666666666668</v>
      </c>
      <c r="AA92" s="74">
        <f t="shared" si="59"/>
        <v>25000000</v>
      </c>
      <c r="AB92" s="59">
        <f t="shared" si="76"/>
        <v>0.03</v>
      </c>
      <c r="AC92" s="57">
        <f>Volatilities_Resets!$E81*0.01</f>
        <v>3.7947099999999997E-2</v>
      </c>
      <c r="AD92" s="61">
        <f>IF(AB92=AE$11,Volatilities_Resets!$AA81,IF(AB92&gt;=AD$11,IF(AB92&lt;AE$11,(((Volatilities_Resets!$AA81-Volatilities_Resets!$Y81)/50)*((Calculator!AB92-Calculator!AD$11)*10000)+Volatilities_Resets!$Y81)),IF(AB92&gt;=AD$10,IF(AB92&lt;AE$10,(((Volatilities_Resets!$Y81-Volatilities_Resets!$W81)/50)*((Calculator!AB92-Calculator!AD$10)*10000)+Volatilities_Resets!$W81)),IF(AB92&gt;=AD$9,IF(AB92&lt;AE$9,(((Volatilities_Resets!$W81-Volatilities_Resets!$U81)/50)*((Calculator!AB92-Calculator!AD$9)*10000)+Volatilities_Resets!$U81)),IF(AB92&gt;=AD$8,IF(AB92&lt;AE$8,(((Volatilities_Resets!$U81-Volatilities_Resets!$S81)/50)*((Calculator!AB92-Calculator!AD$8)*10000)+Volatilities_Resets!$S81)),IF(AB92&gt;=AD$7,IF(AB92&lt;AE$7,(((Volatilities_Resets!$S81-Volatilities_Resets!$Q81)/50)*((Calculator!AB92-Calculator!AD$7)*10000)+Volatilities_Resets!$Q81)),IF(AB92&gt;=AD$6,IF(AB92&lt;AE$6,(((Volatilities_Resets!$Q81-Volatilities_Resets!$O81)/50)*((Calculator!AB92-Calculator!AD$6)*10000)+Volatilities_Resets!$O81)),IF(AB92&gt;=AD$5,IF(AB92&lt;AE$5,(((Volatilities_Resets!$O81-Volatilities_Resets!$M81)/50)*((Calculator!AB92-Calculator!AD$5)*10000)+Volatilities_Resets!$M81)),IF(AB92&gt;=AD$4,IF(AB92&lt;AE$4,(((Volatilities_Resets!$M81-Volatilities_Resets!$K81)/50)*((Calculator!AB92-Calculator!AD$4)*10000)+Volatilities_Resets!$K81)),IF(AB92&gt;=AD$3,IF(AB92&lt;AE$3,(((Volatilities_Resets!$K81-Volatilities_Resets!$I81)/50)*((Calculator!AB92-Calculator!AD$3)*10000)+Volatilities_Resets!$I81)),IF(AB92&gt;=AD$2,IF(AB92&lt;AE$2,(((Volatilities_Resets!$I81-Volatilities_Resets!$G81)/50)*((Calculator!AB92-Calculator!AD$2)*10000)+Volatilities_Resets!$G81)),"Well, something broke...")))))))))))/10000</f>
        <v>1.0902E-2</v>
      </c>
      <c r="AE92" s="63">
        <f t="shared" ca="1" si="77"/>
        <v>23091.823793767326</v>
      </c>
      <c r="AF92" s="63">
        <f t="shared" ca="1" si="78"/>
        <v>9.2950493086346351E-4</v>
      </c>
      <c r="AG92" s="63">
        <f t="shared" ca="1" si="97"/>
        <v>2428647.8890490751</v>
      </c>
      <c r="AJ92" s="63">
        <f t="shared" ca="1" si="79"/>
        <v>111.0848095241787</v>
      </c>
      <c r="AK92" s="63">
        <f ca="1">SUM($AJ$15:AJ92)</f>
        <v>7169.4790181060007</v>
      </c>
      <c r="AM92" s="52">
        <f ca="1">EXP(-AVERAGE(AC$15:AC92)*Z92)</f>
        <v>0.76190128514646649</v>
      </c>
      <c r="AO92" s="52">
        <f t="shared" ca="1" si="80"/>
        <v>78</v>
      </c>
      <c r="AP92" s="71">
        <f t="shared" ca="1" si="81"/>
        <v>47536</v>
      </c>
      <c r="AQ92" s="71">
        <f t="shared" ca="1" si="60"/>
        <v>47564</v>
      </c>
      <c r="AR92" s="72">
        <f t="shared" ca="1" si="61"/>
        <v>28</v>
      </c>
      <c r="AS92" s="73">
        <f ca="1">SUM(AR$15:AR92)/360</f>
        <v>6.5916666666666668</v>
      </c>
      <c r="AT92" s="74">
        <f t="shared" si="62"/>
        <v>25000000</v>
      </c>
      <c r="AU92" s="59">
        <f t="shared" si="82"/>
        <v>0.04</v>
      </c>
      <c r="AV92" s="57">
        <f>Volatilities_Resets!$E81*0.01</f>
        <v>3.7947099999999997E-2</v>
      </c>
      <c r="AW92" s="61">
        <f>IF(AU92=AX$11,Volatilities_Resets!$AA81,IF(AU92&gt;=AW$11,IF(AU92&lt;AX$11,(((Volatilities_Resets!$AA81-Volatilities_Resets!$Y81)/50)*((Calculator!AU92-Calculator!AW$11)*10000)+Volatilities_Resets!$Y81)),IF(AU92&gt;=AW$10,IF(AU92&lt;AX$10,(((Volatilities_Resets!$Y81-Volatilities_Resets!$W81)/50)*((Calculator!AU92-Calculator!AW$10)*10000)+Volatilities_Resets!$W81)),IF(AU92&gt;=AW$9,IF(AU92&lt;AX$9,(((Volatilities_Resets!$W81-Volatilities_Resets!$U81)/50)*((Calculator!AU92-Calculator!AW$9)*10000)+Volatilities_Resets!$U81)),IF(AU92&gt;=AW$8,IF(AU92&lt;AX$8,(((Volatilities_Resets!$U81-Volatilities_Resets!$S81)/50)*((Calculator!AU92-Calculator!AW$8)*10000)+Volatilities_Resets!$S81)),IF(AU92&gt;=AW$7,IF(AU92&lt;AX$7,(((Volatilities_Resets!$S81-Volatilities_Resets!$Q81)/50)*((Calculator!AU92-Calculator!AW$7)*10000)+Volatilities_Resets!$Q81)),IF(AU92&gt;=AW$6,IF(AU92&lt;AX$6,(((Volatilities_Resets!$Q81-Volatilities_Resets!$O81)/50)*((Calculator!AU92-Calculator!AW$6)*10000)+Volatilities_Resets!$O81)),IF(AU92&gt;=AW$5,IF(AU92&lt;AX$5,(((Volatilities_Resets!$O81-Volatilities_Resets!$M81)/50)*((Calculator!AU92-Calculator!AW$5)*10000)+Volatilities_Resets!$M81)),IF(AU92&gt;=AW$4,IF(AU92&lt;AX$4,(((Volatilities_Resets!$M81-Volatilities_Resets!$K81)/50)*((Calculator!AU92-Calculator!AW$4)*10000)+Volatilities_Resets!$K81)),IF(AU92&gt;=AW$3,IF(AU92&lt;AX$3,(((Volatilities_Resets!$K81-Volatilities_Resets!$I81)/50)*((Calculator!AU92-Calculator!AW$3)*10000)+Volatilities_Resets!$I81)),IF(AU92&gt;=AW$2,IF(AU92&lt;AX$2,(((Volatilities_Resets!$I81-Volatilities_Resets!$G81)/50)*((Calculator!AU92-Calculator!AW$2)*10000)+Volatilities_Resets!$G81)),"Well, something broke...")))))))))))/10000</f>
        <v>1.1322E-2</v>
      </c>
      <c r="AX92" s="63">
        <f t="shared" ca="1" si="83"/>
        <v>15702.242378363331</v>
      </c>
      <c r="AY92" s="63">
        <f t="shared" ca="1" si="84"/>
        <v>6.3414433552533322E-4</v>
      </c>
      <c r="AZ92" s="63">
        <f t="shared" ca="1" si="98"/>
        <v>1492997.7823588848</v>
      </c>
      <c r="BC92" s="63">
        <f t="shared" ca="1" si="63"/>
        <v>115.32595737125521</v>
      </c>
      <c r="BD92" s="63">
        <f ca="1">SUM($BC$15:BC92)</f>
        <v>7689.8985502292417</v>
      </c>
      <c r="BF92" s="52">
        <f ca="1">EXP(-AVERAGE(AV$15:AV92)*AS92)</f>
        <v>0.76190128514646649</v>
      </c>
      <c r="BH92" s="52">
        <f t="shared" ca="1" si="85"/>
        <v>78</v>
      </c>
      <c r="BI92" s="71">
        <f t="shared" ca="1" si="86"/>
        <v>47536</v>
      </c>
      <c r="BJ92" s="71">
        <f t="shared" ca="1" si="64"/>
        <v>47564</v>
      </c>
      <c r="BK92" s="72">
        <f t="shared" ca="1" si="65"/>
        <v>28</v>
      </c>
      <c r="BL92" s="73">
        <f ca="1">SUM(BK$15:BK92)/360</f>
        <v>6.5916666666666668</v>
      </c>
      <c r="BM92" s="74">
        <f t="shared" si="66"/>
        <v>25000000</v>
      </c>
      <c r="BN92" s="59">
        <f t="shared" si="87"/>
        <v>0.05</v>
      </c>
      <c r="BO92" s="57">
        <f>Volatilities_Resets!$E81*0.01</f>
        <v>3.7947099999999997E-2</v>
      </c>
      <c r="BP92" s="61">
        <f>IF(BN92=BQ$11,Volatilities_Resets!$AA81,IF(BN92&gt;=BP$11,IF(BN92&lt;BQ$11,(((Volatilities_Resets!$AA81-Volatilities_Resets!$Y81)/50)*((Calculator!BN92-Calculator!BP$11)*10000)+Volatilities_Resets!$Y81)),IF(BN92&gt;=BP$10,IF(BN92&lt;BQ$10,(((Volatilities_Resets!$Y81-Volatilities_Resets!$W81)/50)*((Calculator!BN92-Calculator!BP$10)*10000)+Volatilities_Resets!$W81)),IF(BN92&gt;=BP$9,IF(BN92&lt;BQ$9,(((Volatilities_Resets!$W81-Volatilities_Resets!$U81)/50)*((Calculator!BN92-Calculator!BP$9)*10000)+Volatilities_Resets!$U81)),IF(BN92&gt;=BP$8,IF(BN92&lt;BQ$8,(((Volatilities_Resets!$U81-Volatilities_Resets!$S81)/50)*((Calculator!BN92-Calculator!BP$8)*10000)+Volatilities_Resets!$S81)),IF(BN92&gt;=BP$7,IF(BN92&lt;BQ$7,(((Volatilities_Resets!$S81-Volatilities_Resets!$Q81)/50)*((Calculator!BN92-Calculator!BP$7)*10000)+Volatilities_Resets!$Q81)),IF(BN92&gt;=BP$6,IF(BN92&lt;BQ$6,(((Volatilities_Resets!$Q81-Volatilities_Resets!$O81)/50)*((Calculator!BN92-Calculator!BP$6)*10000)+Volatilities_Resets!$O81)),IF(BN92&gt;=BP$5,IF(BN92&lt;BQ$5,(((Volatilities_Resets!$O81-Volatilities_Resets!$M81)/50)*((Calculator!BN92-Calculator!BP$5)*10000)+Volatilities_Resets!$M81)),IF(BN92&gt;=BP$4,IF(BN92&lt;BQ$4,(((Volatilities_Resets!$M81-Volatilities_Resets!$K81)/50)*((Calculator!BN92-Calculator!BP$4)*10000)+Volatilities_Resets!$K81)),IF(BN92&gt;=BP$3,IF(BN92&lt;BQ$3,(((Volatilities_Resets!$K81-Volatilities_Resets!$I81)/50)*((Calculator!BN92-Calculator!BP$3)*10000)+Volatilities_Resets!$I81)),IF(BN92&gt;=BP$2,IF(BN92&lt;BQ$2,(((Volatilities_Resets!$I81-Volatilities_Resets!$G81)/50)*((Calculator!BN92-Calculator!BP$2)*10000)+Volatilities_Resets!$G81)),"Well, something broke...")))))))))))/10000</f>
        <v>1.1969E-2</v>
      </c>
      <c r="BQ92" s="63">
        <f t="shared" ca="1" si="88"/>
        <v>10613.184331518254</v>
      </c>
      <c r="BR92" s="63">
        <f t="shared" ca="1" si="89"/>
        <v>4.3015120853703718E-4</v>
      </c>
      <c r="BS92" s="63">
        <f t="shared" ca="1" si="99"/>
        <v>790584.77753276844</v>
      </c>
      <c r="BV92" s="63">
        <f t="shared" ca="1" si="90"/>
        <v>107.12018311175855</v>
      </c>
      <c r="BW92" s="63">
        <f ca="1">SUM($BV$15:BV92)</f>
        <v>7374.4008868605433</v>
      </c>
      <c r="BY92" s="52">
        <f ca="1">EXP(-AVERAGE(BO$15:BO92)*BL92)</f>
        <v>0.76190128514646649</v>
      </c>
      <c r="CA92" s="52">
        <f t="shared" ca="1" si="91"/>
        <v>78</v>
      </c>
      <c r="CB92" s="71">
        <f t="shared" ca="1" si="92"/>
        <v>47536</v>
      </c>
      <c r="CC92" s="71">
        <f t="shared" ca="1" si="67"/>
        <v>47564</v>
      </c>
      <c r="CD92" s="72">
        <f t="shared" ca="1" si="68"/>
        <v>28</v>
      </c>
      <c r="CE92" s="73">
        <f ca="1">SUM(CD$15:CD92)/360</f>
        <v>6.5916666666666668</v>
      </c>
      <c r="CF92" s="74">
        <f t="shared" si="69"/>
        <v>25000000</v>
      </c>
      <c r="CG92" s="59">
        <f t="shared" si="93"/>
        <v>0.06</v>
      </c>
      <c r="CH92" s="57">
        <f>Volatilities_Resets!$E81*0.01</f>
        <v>3.7947099999999997E-2</v>
      </c>
      <c r="CI92" s="61">
        <f>IF(CG92=CJ$11,Volatilities_Resets!$AA81,IF(CG92&gt;=CI$11,IF(CG92&lt;CJ$11,(((Volatilities_Resets!$AA81-Volatilities_Resets!$Y81)/50)*((Calculator!CG92-Calculator!CI$11)*10000)+Volatilities_Resets!$Y81)),IF(CG92&gt;=CI$10,IF(CG92&lt;CJ$10,(((Volatilities_Resets!$Y81-Volatilities_Resets!$W81)/50)*((Calculator!CG92-Calculator!CI$10)*10000)+Volatilities_Resets!$W81)),IF(CG92&gt;=CI$9,IF(CG92&lt;CJ$9,(((Volatilities_Resets!$W81-Volatilities_Resets!$U81)/50)*((Calculator!CG92-Calculator!CI$9)*10000)+Volatilities_Resets!$U81)),IF(CG92&gt;=CI$8,IF(CG92&lt;CJ$8,(((Volatilities_Resets!$U81-Volatilities_Resets!$S81)/50)*((Calculator!CG92-Calculator!CI$8)*10000)+Volatilities_Resets!$S81)),IF(CG92&gt;=CI$7,IF(CG92&lt;CJ$7,(((Volatilities_Resets!$S81-Volatilities_Resets!$Q81)/50)*((Calculator!CG92-Calculator!CI$7)*10000)+Volatilities_Resets!$Q81)),IF(CG92&gt;=CI$6,IF(CG92&lt;CJ$6,(((Volatilities_Resets!$Q81-Volatilities_Resets!$O81)/50)*((Calculator!CG92-Calculator!CI$6)*10000)+Volatilities_Resets!$O81)),IF(CG92&gt;=CI$5,IF(CG92&lt;CJ$5,(((Volatilities_Resets!$O81-Volatilities_Resets!$M81)/50)*((Calculator!CG92-Calculator!CI$5)*10000)+Volatilities_Resets!$M81)),IF(CG92&gt;=CI$4,IF(CG92&lt;CJ$4,(((Volatilities_Resets!$M81-Volatilities_Resets!$K81)/50)*((Calculator!CG92-Calculator!CI$4)*10000)+Volatilities_Resets!$K81)),IF(CG92&gt;=CI$3,IF(CG92&lt;CJ$3,(((Volatilities_Resets!$K81-Volatilities_Resets!$I81)/50)*((Calculator!CG92-Calculator!CI$3)*10000)+Volatilities_Resets!$I81)),IF(CG92&gt;=CI$2,IF(CG92&lt;CJ$2,(((Volatilities_Resets!$I81-Volatilities_Resets!$G81)/50)*((Calculator!CG92-Calculator!CI$2)*10000)+Volatilities_Resets!$G81)),"Well, something broke...")))))))))))/10000</f>
        <v>1.2784999999999999E-2</v>
      </c>
      <c r="CJ92" s="63">
        <f t="shared" ca="1" si="94"/>
        <v>7285.4100889287174</v>
      </c>
      <c r="CK92" s="63">
        <f t="shared" ca="1" si="95"/>
        <v>2.9626826756208455E-4</v>
      </c>
      <c r="CL92" s="63">
        <f t="shared" ca="1" si="100"/>
        <v>410595.65028294298</v>
      </c>
      <c r="CO92" s="63">
        <f t="shared" ca="1" si="96"/>
        <v>92.416035517912576</v>
      </c>
      <c r="CP92" s="63">
        <f ca="1">SUM($CO$15:CO92)</f>
        <v>5828.6866548586831</v>
      </c>
      <c r="CR92" s="52">
        <f ca="1">EXP(-AVERAGE(CH$15:CH92)*CE92)</f>
        <v>0.76190128514646649</v>
      </c>
      <c r="CT92"/>
      <c r="CU92"/>
      <c r="CV92"/>
      <c r="CW92"/>
      <c r="CX92"/>
      <c r="CY92"/>
      <c r="CZ92"/>
      <c r="DA92"/>
      <c r="DB92"/>
      <c r="DC92"/>
      <c r="DD92"/>
      <c r="DE92"/>
      <c r="DF92"/>
      <c r="DG92"/>
      <c r="DH92"/>
      <c r="DI92"/>
      <c r="DJ92"/>
      <c r="DK92"/>
      <c r="DL92"/>
    </row>
    <row r="93" spans="2:116" ht="15.75" customHeight="1" x14ac:dyDescent="0.2">
      <c r="B93" s="52">
        <v>7</v>
      </c>
      <c r="C93" s="52">
        <f t="shared" ca="1" si="52"/>
        <v>79</v>
      </c>
      <c r="D93" s="71">
        <f t="shared" ca="1" si="70"/>
        <v>47564</v>
      </c>
      <c r="E93" s="71">
        <f t="shared" ca="1" si="53"/>
        <v>47595</v>
      </c>
      <c r="F93" s="72">
        <f t="shared" ca="1" si="54"/>
        <v>31</v>
      </c>
      <c r="G93" s="73">
        <f ca="1">SUM($F$15:F93)/360</f>
        <v>6.677777777777778</v>
      </c>
      <c r="H93" s="74">
        <f t="shared" si="56"/>
        <v>25000000</v>
      </c>
      <c r="I93" s="59">
        <f>IF('Cap Pricer'!$E$22=DataValidation!$C$2,'Cap Pricer'!$E$23,IF('Cap Pricer'!$E$22=DataValidation!$C$3,VLOOKUP($B93,'Cap Pricer'!$C$25:$E$31,3),""))</f>
        <v>0.02</v>
      </c>
      <c r="J93" s="57">
        <f>Volatilities_Resets!$E82*0.01</f>
        <v>3.7953100000000003E-2</v>
      </c>
      <c r="K93" s="61">
        <f>IF(I93=L$11,Volatilities_Resets!$AA82,IF(I93&gt;=K$11,IF(I93&lt;L$11,(((Volatilities_Resets!$AA82-Volatilities_Resets!$Y82)/50)*((Calculator!I93-Calculator!K$11)*10000)+Volatilities_Resets!$Y82)),IF(I93&gt;=K$10,IF(I93&lt;L$10,(((Volatilities_Resets!$Y82-Volatilities_Resets!$W82)/50)*((Calculator!I93-Calculator!K$10)*10000)+Volatilities_Resets!$W82)),IF(I93&gt;=K$9,IF(I93&lt;L$9,(((Volatilities_Resets!$W82-Volatilities_Resets!$U82)/50)*((Calculator!I93-Calculator!K$9)*10000)+Volatilities_Resets!$U82)),IF(I93&gt;=K$8,IF(I93&lt;L$8,(((Volatilities_Resets!$U82-Volatilities_Resets!$S82)/50)*((Calculator!I93-Calculator!K$8)*10000)+Volatilities_Resets!$S82)),IF(I93&gt;=K$7,IF(I93&lt;L$7,(((Volatilities_Resets!$S82-Volatilities_Resets!$Q82)/50)*((Calculator!I93-Calculator!K$7)*10000)+Volatilities_Resets!$Q82)),IF(I93&gt;=K$6,IF(I93&lt;L$6,(((Volatilities_Resets!$Q82-Volatilities_Resets!$O82)/50)*((Calculator!I93-Calculator!K$6)*10000)+Volatilities_Resets!$O82)),IF(I93&gt;=K$5,IF(I93&lt;L$5,(((Volatilities_Resets!$O82-Volatilities_Resets!$M82)/50)*((Calculator!I93-Calculator!K$5)*10000)+Volatilities_Resets!$M82)),IF(I93&gt;=K$4,IF(I93&lt;L$4,(((Volatilities_Resets!$M82-Volatilities_Resets!$K82)/50)*((Calculator!I93-Calculator!K$4)*10000)+Volatilities_Resets!$K82)),IF(I93&gt;=K$3,IF(I93&lt;L$3,(((Volatilities_Resets!$K82-Volatilities_Resets!$I82)/50)*((Calculator!I93-Calculator!K$3)*10000)+Volatilities_Resets!$I82)),IF(I93&gt;=K$2,IF(I93&lt;L$2,(((Volatilities_Resets!$I82-Volatilities_Resets!$G82)/50)*((Calculator!I93-Calculator!K$2)*10000)+Volatilities_Resets!$G82)),"Well, something broke...")))))))))))/10000</f>
        <v>1.0723999999999999E-2</v>
      </c>
      <c r="L93" s="47">
        <f t="shared" ca="1" si="71"/>
        <v>36414.995199600511</v>
      </c>
      <c r="M93" s="63">
        <f t="shared" ca="1" si="72"/>
        <v>1.4620758788053802E-3</v>
      </c>
      <c r="N93" s="63">
        <f t="shared" ca="1" si="55"/>
        <v>3565312.6380806263</v>
      </c>
      <c r="Q93" s="63">
        <f t="shared" ca="1" si="73"/>
        <v>103.96475823654445</v>
      </c>
      <c r="R93" s="63">
        <f ca="1">SUM($Q$15:Q93)</f>
        <v>6012.3931713563861</v>
      </c>
      <c r="T93" s="52">
        <f ca="1">EXP(-AVERAGE(J$15:J93)*G93)</f>
        <v>0.75941134896227636</v>
      </c>
      <c r="U93" s="57"/>
      <c r="V93" s="52">
        <f t="shared" ca="1" si="74"/>
        <v>79</v>
      </c>
      <c r="W93" s="71">
        <f t="shared" ca="1" si="75"/>
        <v>47564</v>
      </c>
      <c r="X93" s="71">
        <f t="shared" ca="1" si="57"/>
        <v>47595</v>
      </c>
      <c r="Y93" s="72">
        <f t="shared" ca="1" si="58"/>
        <v>31</v>
      </c>
      <c r="Z93" s="73">
        <f ca="1">SUM(Y$15:Y93)/360</f>
        <v>6.677777777777778</v>
      </c>
      <c r="AA93" s="74">
        <f t="shared" si="59"/>
        <v>25000000</v>
      </c>
      <c r="AB93" s="59">
        <f t="shared" si="76"/>
        <v>0.03</v>
      </c>
      <c r="AC93" s="57">
        <f>Volatilities_Resets!$E82*0.01</f>
        <v>3.7953100000000003E-2</v>
      </c>
      <c r="AD93" s="61">
        <f>IF(AB93=AE$11,Volatilities_Resets!$AA82,IF(AB93&gt;=AD$11,IF(AB93&lt;AE$11,(((Volatilities_Resets!$AA82-Volatilities_Resets!$Y82)/50)*((Calculator!AB93-Calculator!AD$11)*10000)+Volatilities_Resets!$Y82)),IF(AB93&gt;=AD$10,IF(AB93&lt;AE$10,(((Volatilities_Resets!$Y82-Volatilities_Resets!$W82)/50)*((Calculator!AB93-Calculator!AD$10)*10000)+Volatilities_Resets!$W82)),IF(AB93&gt;=AD$9,IF(AB93&lt;AE$9,(((Volatilities_Resets!$W82-Volatilities_Resets!$U82)/50)*((Calculator!AB93-Calculator!AD$9)*10000)+Volatilities_Resets!$U82)),IF(AB93&gt;=AD$8,IF(AB93&lt;AE$8,(((Volatilities_Resets!$U82-Volatilities_Resets!$S82)/50)*((Calculator!AB93-Calculator!AD$8)*10000)+Volatilities_Resets!$S82)),IF(AB93&gt;=AD$7,IF(AB93&lt;AE$7,(((Volatilities_Resets!$S82-Volatilities_Resets!$Q82)/50)*((Calculator!AB93-Calculator!AD$7)*10000)+Volatilities_Resets!$Q82)),IF(AB93&gt;=AD$6,IF(AB93&lt;AE$6,(((Volatilities_Resets!$Q82-Volatilities_Resets!$O82)/50)*((Calculator!AB93-Calculator!AD$6)*10000)+Volatilities_Resets!$O82)),IF(AB93&gt;=AD$5,IF(AB93&lt;AE$5,(((Volatilities_Resets!$O82-Volatilities_Resets!$M82)/50)*((Calculator!AB93-Calculator!AD$5)*10000)+Volatilities_Resets!$M82)),IF(AB93&gt;=AD$4,IF(AB93&lt;AE$4,(((Volatilities_Resets!$M82-Volatilities_Resets!$K82)/50)*((Calculator!AB93-Calculator!AD$4)*10000)+Volatilities_Resets!$K82)),IF(AB93&gt;=AD$3,IF(AB93&lt;AE$3,(((Volatilities_Resets!$K82-Volatilities_Resets!$I82)/50)*((Calculator!AB93-Calculator!AD$3)*10000)+Volatilities_Resets!$I82)),IF(AB93&gt;=AD$2,IF(AB93&lt;AE$2,(((Volatilities_Resets!$I82-Volatilities_Resets!$G82)/50)*((Calculator!AB93-Calculator!AD$2)*10000)+Volatilities_Resets!$G82)),"Well, something broke...")))))))))))/10000</f>
        <v>1.0902E-2</v>
      </c>
      <c r="AE93" s="63">
        <f t="shared" ca="1" si="77"/>
        <v>25602.579256405406</v>
      </c>
      <c r="AF93" s="63">
        <f t="shared" ca="1" si="78"/>
        <v>1.0305837547436273E-3</v>
      </c>
      <c r="AG93" s="63">
        <f t="shared" ca="1" si="97"/>
        <v>2454250.4683054807</v>
      </c>
      <c r="AJ93" s="63">
        <f t="shared" ca="1" si="79"/>
        <v>123.03573519122085</v>
      </c>
      <c r="AK93" s="63">
        <f ca="1">SUM($AJ$15:AJ93)</f>
        <v>7292.5147532972214</v>
      </c>
      <c r="AM93" s="52">
        <f ca="1">EXP(-AVERAGE(AC$15:AC93)*Z93)</f>
        <v>0.75941134896227636</v>
      </c>
      <c r="AO93" s="52">
        <f t="shared" ca="1" si="80"/>
        <v>79</v>
      </c>
      <c r="AP93" s="71">
        <f t="shared" ca="1" si="81"/>
        <v>47564</v>
      </c>
      <c r="AQ93" s="71">
        <f t="shared" ca="1" si="60"/>
        <v>47595</v>
      </c>
      <c r="AR93" s="72">
        <f t="shared" ca="1" si="61"/>
        <v>31</v>
      </c>
      <c r="AS93" s="73">
        <f ca="1">SUM(AR$15:AR93)/360</f>
        <v>6.677777777777778</v>
      </c>
      <c r="AT93" s="74">
        <f t="shared" si="62"/>
        <v>25000000</v>
      </c>
      <c r="AU93" s="59">
        <f t="shared" si="82"/>
        <v>0.04</v>
      </c>
      <c r="AV93" s="57">
        <f>Volatilities_Resets!$E82*0.01</f>
        <v>3.7953100000000003E-2</v>
      </c>
      <c r="AW93" s="61">
        <f>IF(AU93=AX$11,Volatilities_Resets!$AA82,IF(AU93&gt;=AW$11,IF(AU93&lt;AX$11,(((Volatilities_Resets!$AA82-Volatilities_Resets!$Y82)/50)*((Calculator!AU93-Calculator!AW$11)*10000)+Volatilities_Resets!$Y82)),IF(AU93&gt;=AW$10,IF(AU93&lt;AX$10,(((Volatilities_Resets!$Y82-Volatilities_Resets!$W82)/50)*((Calculator!AU93-Calculator!AW$10)*10000)+Volatilities_Resets!$W82)),IF(AU93&gt;=AW$9,IF(AU93&lt;AX$9,(((Volatilities_Resets!$W82-Volatilities_Resets!$U82)/50)*((Calculator!AU93-Calculator!AW$9)*10000)+Volatilities_Resets!$U82)),IF(AU93&gt;=AW$8,IF(AU93&lt;AX$8,(((Volatilities_Resets!$U82-Volatilities_Resets!$S82)/50)*((Calculator!AU93-Calculator!AW$8)*10000)+Volatilities_Resets!$S82)),IF(AU93&gt;=AW$7,IF(AU93&lt;AX$7,(((Volatilities_Resets!$S82-Volatilities_Resets!$Q82)/50)*((Calculator!AU93-Calculator!AW$7)*10000)+Volatilities_Resets!$Q82)),IF(AU93&gt;=AW$6,IF(AU93&lt;AX$6,(((Volatilities_Resets!$Q82-Volatilities_Resets!$O82)/50)*((Calculator!AU93-Calculator!AW$6)*10000)+Volatilities_Resets!$O82)),IF(AU93&gt;=AW$5,IF(AU93&lt;AX$5,(((Volatilities_Resets!$O82-Volatilities_Resets!$M82)/50)*((Calculator!AU93-Calculator!AW$5)*10000)+Volatilities_Resets!$M82)),IF(AU93&gt;=AW$4,IF(AU93&lt;AX$4,(((Volatilities_Resets!$M82-Volatilities_Resets!$K82)/50)*((Calculator!AU93-Calculator!AW$4)*10000)+Volatilities_Resets!$K82)),IF(AU93&gt;=AW$3,IF(AU93&lt;AX$3,(((Volatilities_Resets!$K82-Volatilities_Resets!$I82)/50)*((Calculator!AU93-Calculator!AW$3)*10000)+Volatilities_Resets!$I82)),IF(AU93&gt;=AW$2,IF(AU93&lt;AX$2,(((Volatilities_Resets!$I82-Volatilities_Resets!$G82)/50)*((Calculator!AU93-Calculator!AW$2)*10000)+Volatilities_Resets!$G82)),"Well, something broke...")))))))))))/10000</f>
        <v>1.1322E-2</v>
      </c>
      <c r="AX93" s="63">
        <f t="shared" ca="1" si="83"/>
        <v>17455.569213400951</v>
      </c>
      <c r="AY93" s="63">
        <f t="shared" ca="1" si="84"/>
        <v>7.0494802398623428E-4</v>
      </c>
      <c r="AZ93" s="63">
        <f t="shared" ca="1" si="98"/>
        <v>1510453.3515722859</v>
      </c>
      <c r="BC93" s="63">
        <f t="shared" ca="1" si="63"/>
        <v>127.68088283873533</v>
      </c>
      <c r="BD93" s="63">
        <f ca="1">SUM($BC$15:BC93)</f>
        <v>7817.5794330679773</v>
      </c>
      <c r="BF93" s="52">
        <f ca="1">EXP(-AVERAGE(AV$15:AV93)*AS93)</f>
        <v>0.75941134896227636</v>
      </c>
      <c r="BH93" s="52">
        <f t="shared" ca="1" si="85"/>
        <v>79</v>
      </c>
      <c r="BI93" s="71">
        <f t="shared" ca="1" si="86"/>
        <v>47564</v>
      </c>
      <c r="BJ93" s="71">
        <f t="shared" ca="1" si="64"/>
        <v>47595</v>
      </c>
      <c r="BK93" s="72">
        <f t="shared" ca="1" si="65"/>
        <v>31</v>
      </c>
      <c r="BL93" s="73">
        <f ca="1">SUM(BK$15:BK93)/360</f>
        <v>6.677777777777778</v>
      </c>
      <c r="BM93" s="74">
        <f t="shared" si="66"/>
        <v>25000000</v>
      </c>
      <c r="BN93" s="59">
        <f t="shared" si="87"/>
        <v>0.05</v>
      </c>
      <c r="BO93" s="57">
        <f>Volatilities_Resets!$E82*0.01</f>
        <v>3.7953100000000003E-2</v>
      </c>
      <c r="BP93" s="61">
        <f>IF(BN93=BQ$11,Volatilities_Resets!$AA82,IF(BN93&gt;=BP$11,IF(BN93&lt;BQ$11,(((Volatilities_Resets!$AA82-Volatilities_Resets!$Y82)/50)*((Calculator!BN93-Calculator!BP$11)*10000)+Volatilities_Resets!$Y82)),IF(BN93&gt;=BP$10,IF(BN93&lt;BQ$10,(((Volatilities_Resets!$Y82-Volatilities_Resets!$W82)/50)*((Calculator!BN93-Calculator!BP$10)*10000)+Volatilities_Resets!$W82)),IF(BN93&gt;=BP$9,IF(BN93&lt;BQ$9,(((Volatilities_Resets!$W82-Volatilities_Resets!$U82)/50)*((Calculator!BN93-Calculator!BP$9)*10000)+Volatilities_Resets!$U82)),IF(BN93&gt;=BP$8,IF(BN93&lt;BQ$8,(((Volatilities_Resets!$U82-Volatilities_Resets!$S82)/50)*((Calculator!BN93-Calculator!BP$8)*10000)+Volatilities_Resets!$S82)),IF(BN93&gt;=BP$7,IF(BN93&lt;BQ$7,(((Volatilities_Resets!$S82-Volatilities_Resets!$Q82)/50)*((Calculator!BN93-Calculator!BP$7)*10000)+Volatilities_Resets!$Q82)),IF(BN93&gt;=BP$6,IF(BN93&lt;BQ$6,(((Volatilities_Resets!$Q82-Volatilities_Resets!$O82)/50)*((Calculator!BN93-Calculator!BP$6)*10000)+Volatilities_Resets!$O82)),IF(BN93&gt;=BP$5,IF(BN93&lt;BQ$5,(((Volatilities_Resets!$O82-Volatilities_Resets!$M82)/50)*((Calculator!BN93-Calculator!BP$5)*10000)+Volatilities_Resets!$M82)),IF(BN93&gt;=BP$4,IF(BN93&lt;BQ$4,(((Volatilities_Resets!$M82-Volatilities_Resets!$K82)/50)*((Calculator!BN93-Calculator!BP$4)*10000)+Volatilities_Resets!$K82)),IF(BN93&gt;=BP$3,IF(BN93&lt;BQ$3,(((Volatilities_Resets!$K82-Volatilities_Resets!$I82)/50)*((Calculator!BN93-Calculator!BP$3)*10000)+Volatilities_Resets!$I82)),IF(BN93&gt;=BP$2,IF(BN93&lt;BQ$2,(((Volatilities_Resets!$I82-Volatilities_Resets!$G82)/50)*((Calculator!BN93-Calculator!BP$2)*10000)+Volatilities_Resets!$G82)),"Well, something broke...")))))))))))/10000</f>
        <v>1.1968000000000001E-2</v>
      </c>
      <c r="BQ93" s="63">
        <f t="shared" ca="1" si="88"/>
        <v>11834.651460588751</v>
      </c>
      <c r="BR93" s="63">
        <f t="shared" ca="1" si="89"/>
        <v>4.7963904239082817E-4</v>
      </c>
      <c r="BS93" s="63">
        <f t="shared" ca="1" si="99"/>
        <v>802419.42899335723</v>
      </c>
      <c r="BV93" s="63">
        <f t="shared" ca="1" si="90"/>
        <v>118.71467474075358</v>
      </c>
      <c r="BW93" s="63">
        <f ca="1">SUM($BV$15:BV93)</f>
        <v>7493.1155616012966</v>
      </c>
      <c r="BY93" s="52">
        <f ca="1">EXP(-AVERAGE(BO$15:BO93)*BL93)</f>
        <v>0.75941134896227636</v>
      </c>
      <c r="CA93" s="52">
        <f t="shared" ca="1" si="91"/>
        <v>79</v>
      </c>
      <c r="CB93" s="71">
        <f t="shared" ca="1" si="92"/>
        <v>47564</v>
      </c>
      <c r="CC93" s="71">
        <f t="shared" ca="1" si="67"/>
        <v>47595</v>
      </c>
      <c r="CD93" s="72">
        <f t="shared" ca="1" si="68"/>
        <v>31</v>
      </c>
      <c r="CE93" s="73">
        <f ca="1">SUM(CD$15:CD93)/360</f>
        <v>6.677777777777778</v>
      </c>
      <c r="CF93" s="74">
        <f t="shared" si="69"/>
        <v>25000000</v>
      </c>
      <c r="CG93" s="59">
        <f t="shared" si="93"/>
        <v>0.06</v>
      </c>
      <c r="CH93" s="57">
        <f>Volatilities_Resets!$E82*0.01</f>
        <v>3.7953100000000003E-2</v>
      </c>
      <c r="CI93" s="61">
        <f>IF(CG93=CJ$11,Volatilities_Resets!$AA82,IF(CG93&gt;=CI$11,IF(CG93&lt;CJ$11,(((Volatilities_Resets!$AA82-Volatilities_Resets!$Y82)/50)*((Calculator!CG93-Calculator!CI$11)*10000)+Volatilities_Resets!$Y82)),IF(CG93&gt;=CI$10,IF(CG93&lt;CJ$10,(((Volatilities_Resets!$Y82-Volatilities_Resets!$W82)/50)*((Calculator!CG93-Calculator!CI$10)*10000)+Volatilities_Resets!$W82)),IF(CG93&gt;=CI$9,IF(CG93&lt;CJ$9,(((Volatilities_Resets!$W82-Volatilities_Resets!$U82)/50)*((Calculator!CG93-Calculator!CI$9)*10000)+Volatilities_Resets!$U82)),IF(CG93&gt;=CI$8,IF(CG93&lt;CJ$8,(((Volatilities_Resets!$U82-Volatilities_Resets!$S82)/50)*((Calculator!CG93-Calculator!CI$8)*10000)+Volatilities_Resets!$S82)),IF(CG93&gt;=CI$7,IF(CG93&lt;CJ$7,(((Volatilities_Resets!$S82-Volatilities_Resets!$Q82)/50)*((Calculator!CG93-Calculator!CI$7)*10000)+Volatilities_Resets!$Q82)),IF(CG93&gt;=CI$6,IF(CG93&lt;CJ$6,(((Volatilities_Resets!$Q82-Volatilities_Resets!$O82)/50)*((Calculator!CG93-Calculator!CI$6)*10000)+Volatilities_Resets!$O82)),IF(CG93&gt;=CI$5,IF(CG93&lt;CJ$5,(((Volatilities_Resets!$O82-Volatilities_Resets!$M82)/50)*((Calculator!CG93-Calculator!CI$5)*10000)+Volatilities_Resets!$M82)),IF(CG93&gt;=CI$4,IF(CG93&lt;CJ$4,(((Volatilities_Resets!$M82-Volatilities_Resets!$K82)/50)*((Calculator!CG93-Calculator!CI$4)*10000)+Volatilities_Resets!$K82)),IF(CG93&gt;=CI$3,IF(CG93&lt;CJ$3,(((Volatilities_Resets!$K82-Volatilities_Resets!$I82)/50)*((Calculator!CG93-Calculator!CI$3)*10000)+Volatilities_Resets!$I82)),IF(CG93&gt;=CI$2,IF(CG93&lt;CJ$2,(((Volatilities_Resets!$I82-Volatilities_Resets!$G82)/50)*((Calculator!CG93-Calculator!CI$2)*10000)+Volatilities_Resets!$G82)),"Well, something broke...")))))))))))/10000</f>
        <v>1.2784999999999999E-2</v>
      </c>
      <c r="CJ93" s="63">
        <f t="shared" ca="1" si="94"/>
        <v>8153.4891461206525</v>
      </c>
      <c r="CK93" s="63">
        <f t="shared" ca="1" si="95"/>
        <v>3.3154481039124811E-4</v>
      </c>
      <c r="CL93" s="63">
        <f t="shared" ca="1" si="100"/>
        <v>418749.13942906365</v>
      </c>
      <c r="CO93" s="63">
        <f t="shared" ca="1" si="96"/>
        <v>102.62010131173308</v>
      </c>
      <c r="CP93" s="63">
        <f ca="1">SUM($CO$15:CO93)</f>
        <v>5931.3067561704165</v>
      </c>
      <c r="CR93" s="52">
        <f ca="1">EXP(-AVERAGE(CH$15:CH93)*CE93)</f>
        <v>0.75941134896227636</v>
      </c>
      <c r="CT93"/>
      <c r="CU93"/>
      <c r="CV93"/>
      <c r="CW93"/>
      <c r="CX93"/>
      <c r="CY93"/>
      <c r="CZ93"/>
      <c r="DA93"/>
      <c r="DB93"/>
      <c r="DC93"/>
      <c r="DD93"/>
      <c r="DE93"/>
      <c r="DF93"/>
      <c r="DG93"/>
      <c r="DH93"/>
      <c r="DI93"/>
      <c r="DJ93"/>
      <c r="DK93"/>
      <c r="DL93"/>
    </row>
    <row r="94" spans="2:116" ht="15.75" customHeight="1" x14ac:dyDescent="0.2">
      <c r="B94" s="52">
        <v>7</v>
      </c>
      <c r="C94" s="52">
        <f t="shared" ca="1" si="52"/>
        <v>80</v>
      </c>
      <c r="D94" s="71">
        <f t="shared" ca="1" si="70"/>
        <v>47595</v>
      </c>
      <c r="E94" s="71">
        <f t="shared" ca="1" si="53"/>
        <v>47625</v>
      </c>
      <c r="F94" s="72">
        <f t="shared" ca="1" si="54"/>
        <v>30</v>
      </c>
      <c r="G94" s="73">
        <f ca="1">SUM($F$15:F94)/360</f>
        <v>6.7611111111111111</v>
      </c>
      <c r="H94" s="74">
        <f t="shared" si="56"/>
        <v>25000000</v>
      </c>
      <c r="I94" s="59">
        <f>IF('Cap Pricer'!$E$22=DataValidation!$C$2,'Cap Pricer'!$E$23,IF('Cap Pricer'!$E$22=DataValidation!$C$3,VLOOKUP($B94,'Cap Pricer'!$C$25:$E$31,3),""))</f>
        <v>0.02</v>
      </c>
      <c r="J94" s="57">
        <f>Volatilities_Resets!$E83*0.01</f>
        <v>3.7951100000000001E-2</v>
      </c>
      <c r="K94" s="61">
        <f>IF(I94=L$11,Volatilities_Resets!$AA83,IF(I94&gt;=K$11,IF(I94&lt;L$11,(((Volatilities_Resets!$AA83-Volatilities_Resets!$Y83)/50)*((Calculator!I94-Calculator!K$11)*10000)+Volatilities_Resets!$Y83)),IF(I94&gt;=K$10,IF(I94&lt;L$10,(((Volatilities_Resets!$Y83-Volatilities_Resets!$W83)/50)*((Calculator!I94-Calculator!K$10)*10000)+Volatilities_Resets!$W83)),IF(I94&gt;=K$9,IF(I94&lt;L$9,(((Volatilities_Resets!$W83-Volatilities_Resets!$U83)/50)*((Calculator!I94-Calculator!K$9)*10000)+Volatilities_Resets!$U83)),IF(I94&gt;=K$8,IF(I94&lt;L$8,(((Volatilities_Resets!$U83-Volatilities_Resets!$S83)/50)*((Calculator!I94-Calculator!K$8)*10000)+Volatilities_Resets!$S83)),IF(I94&gt;=K$7,IF(I94&lt;L$7,(((Volatilities_Resets!$S83-Volatilities_Resets!$Q83)/50)*((Calculator!I94-Calculator!K$7)*10000)+Volatilities_Resets!$Q83)),IF(I94&gt;=K$6,IF(I94&lt;L$6,(((Volatilities_Resets!$Q83-Volatilities_Resets!$O83)/50)*((Calculator!I94-Calculator!K$6)*10000)+Volatilities_Resets!$O83)),IF(I94&gt;=K$5,IF(I94&lt;L$5,(((Volatilities_Resets!$O83-Volatilities_Resets!$M83)/50)*((Calculator!I94-Calculator!K$5)*10000)+Volatilities_Resets!$M83)),IF(I94&gt;=K$4,IF(I94&lt;L$4,(((Volatilities_Resets!$M83-Volatilities_Resets!$K83)/50)*((Calculator!I94-Calculator!K$4)*10000)+Volatilities_Resets!$K83)),IF(I94&gt;=K$3,IF(I94&lt;L$3,(((Volatilities_Resets!$K83-Volatilities_Resets!$I83)/50)*((Calculator!I94-Calculator!K$3)*10000)+Volatilities_Resets!$I83)),IF(I94&gt;=K$2,IF(I94&lt;L$2,(((Volatilities_Resets!$I83-Volatilities_Resets!$G83)/50)*((Calculator!I94-Calculator!K$2)*10000)+Volatilities_Resets!$G83)),"Well, something broke...")))))))))))/10000</f>
        <v>1.0723999999999999E-2</v>
      </c>
      <c r="L94" s="47">
        <f t="shared" ca="1" si="71"/>
        <v>35214.884543952212</v>
      </c>
      <c r="M94" s="63">
        <f t="shared" ca="1" si="72"/>
        <v>1.4139248344765866E-3</v>
      </c>
      <c r="N94" s="63">
        <f t="shared" ca="1" si="55"/>
        <v>3600527.5226245783</v>
      </c>
      <c r="Q94" s="63">
        <f t="shared" ca="1" si="73"/>
        <v>100.86207110877555</v>
      </c>
      <c r="R94" s="63">
        <f ca="1">SUM($Q$15:Q94)</f>
        <v>6113.2552424651612</v>
      </c>
      <c r="T94" s="52">
        <f ca="1">EXP(-AVERAGE(J$15:J94)*G94)</f>
        <v>0.75701634998050427</v>
      </c>
      <c r="U94" s="57"/>
      <c r="V94" s="52">
        <f t="shared" ca="1" si="74"/>
        <v>80</v>
      </c>
      <c r="W94" s="71">
        <f t="shared" ca="1" si="75"/>
        <v>47595</v>
      </c>
      <c r="X94" s="71">
        <f t="shared" ca="1" si="57"/>
        <v>47625</v>
      </c>
      <c r="Y94" s="72">
        <f t="shared" ca="1" si="58"/>
        <v>30</v>
      </c>
      <c r="Z94" s="73">
        <f ca="1">SUM(Y$15:Y94)/360</f>
        <v>6.7611111111111111</v>
      </c>
      <c r="AA94" s="74">
        <f t="shared" si="59"/>
        <v>25000000</v>
      </c>
      <c r="AB94" s="59">
        <f t="shared" si="76"/>
        <v>0.03</v>
      </c>
      <c r="AC94" s="57">
        <f>Volatilities_Resets!$E83*0.01</f>
        <v>3.7951100000000001E-2</v>
      </c>
      <c r="AD94" s="61">
        <f>IF(AB94=AE$11,Volatilities_Resets!$AA83,IF(AB94&gt;=AD$11,IF(AB94&lt;AE$11,(((Volatilities_Resets!$AA83-Volatilities_Resets!$Y83)/50)*((Calculator!AB94-Calculator!AD$11)*10000)+Volatilities_Resets!$Y83)),IF(AB94&gt;=AD$10,IF(AB94&lt;AE$10,(((Volatilities_Resets!$Y83-Volatilities_Resets!$W83)/50)*((Calculator!AB94-Calculator!AD$10)*10000)+Volatilities_Resets!$W83)),IF(AB94&gt;=AD$9,IF(AB94&lt;AE$9,(((Volatilities_Resets!$W83-Volatilities_Resets!$U83)/50)*((Calculator!AB94-Calculator!AD$9)*10000)+Volatilities_Resets!$U83)),IF(AB94&gt;=AD$8,IF(AB94&lt;AE$8,(((Volatilities_Resets!$U83-Volatilities_Resets!$S83)/50)*((Calculator!AB94-Calculator!AD$8)*10000)+Volatilities_Resets!$S83)),IF(AB94&gt;=AD$7,IF(AB94&lt;AE$7,(((Volatilities_Resets!$S83-Volatilities_Resets!$Q83)/50)*((Calculator!AB94-Calculator!AD$7)*10000)+Volatilities_Resets!$Q83)),IF(AB94&gt;=AD$6,IF(AB94&lt;AE$6,(((Volatilities_Resets!$Q83-Volatilities_Resets!$O83)/50)*((Calculator!AB94-Calculator!AD$6)*10000)+Volatilities_Resets!$O83)),IF(AB94&gt;=AD$5,IF(AB94&lt;AE$5,(((Volatilities_Resets!$O83-Volatilities_Resets!$M83)/50)*((Calculator!AB94-Calculator!AD$5)*10000)+Volatilities_Resets!$M83)),IF(AB94&gt;=AD$4,IF(AB94&lt;AE$4,(((Volatilities_Resets!$M83-Volatilities_Resets!$K83)/50)*((Calculator!AB94-Calculator!AD$4)*10000)+Volatilities_Resets!$K83)),IF(AB94&gt;=AD$3,IF(AB94&lt;AE$3,(((Volatilities_Resets!$K83-Volatilities_Resets!$I83)/50)*((Calculator!AB94-Calculator!AD$3)*10000)+Volatilities_Resets!$I83)),IF(AB94&gt;=AD$2,IF(AB94&lt;AE$2,(((Volatilities_Resets!$I83-Volatilities_Resets!$G83)/50)*((Calculator!AB94-Calculator!AD$2)*10000)+Volatilities_Resets!$G83)),"Well, something broke...")))))))))))/10000</f>
        <v>1.0902E-2</v>
      </c>
      <c r="AE94" s="63">
        <f t="shared" ca="1" si="77"/>
        <v>24802.600020900954</v>
      </c>
      <c r="AF94" s="63">
        <f t="shared" ca="1" si="78"/>
        <v>9.9839782845842452E-4</v>
      </c>
      <c r="AG94" s="63">
        <f t="shared" ca="1" si="97"/>
        <v>2479053.0683263815</v>
      </c>
      <c r="AJ94" s="63">
        <f t="shared" ca="1" si="79"/>
        <v>119.11326035263384</v>
      </c>
      <c r="AK94" s="63">
        <f ca="1">SUM($AJ$15:AJ94)</f>
        <v>7411.6280136498553</v>
      </c>
      <c r="AM94" s="52">
        <f ca="1">EXP(-AVERAGE(AC$15:AC94)*Z94)</f>
        <v>0.75701634998050427</v>
      </c>
      <c r="AO94" s="52">
        <f t="shared" ca="1" si="80"/>
        <v>80</v>
      </c>
      <c r="AP94" s="71">
        <f t="shared" ca="1" si="81"/>
        <v>47595</v>
      </c>
      <c r="AQ94" s="71">
        <f t="shared" ca="1" si="60"/>
        <v>47625</v>
      </c>
      <c r="AR94" s="72">
        <f t="shared" ca="1" si="61"/>
        <v>30</v>
      </c>
      <c r="AS94" s="73">
        <f ca="1">SUM(AR$15:AR94)/360</f>
        <v>6.7611111111111111</v>
      </c>
      <c r="AT94" s="74">
        <f t="shared" si="62"/>
        <v>25000000</v>
      </c>
      <c r="AU94" s="59">
        <f t="shared" si="82"/>
        <v>0.04</v>
      </c>
      <c r="AV94" s="57">
        <f>Volatilities_Resets!$E83*0.01</f>
        <v>3.7951100000000001E-2</v>
      </c>
      <c r="AW94" s="61">
        <f>IF(AU94=AX$11,Volatilities_Resets!$AA83,IF(AU94&gt;=AW$11,IF(AU94&lt;AX$11,(((Volatilities_Resets!$AA83-Volatilities_Resets!$Y83)/50)*((Calculator!AU94-Calculator!AW$11)*10000)+Volatilities_Resets!$Y83)),IF(AU94&gt;=AW$10,IF(AU94&lt;AX$10,(((Volatilities_Resets!$Y83-Volatilities_Resets!$W83)/50)*((Calculator!AU94-Calculator!AW$10)*10000)+Volatilities_Resets!$W83)),IF(AU94&gt;=AW$9,IF(AU94&lt;AX$9,(((Volatilities_Resets!$W83-Volatilities_Resets!$U83)/50)*((Calculator!AU94-Calculator!AW$9)*10000)+Volatilities_Resets!$U83)),IF(AU94&gt;=AW$8,IF(AU94&lt;AX$8,(((Volatilities_Resets!$U83-Volatilities_Resets!$S83)/50)*((Calculator!AU94-Calculator!AW$8)*10000)+Volatilities_Resets!$S83)),IF(AU94&gt;=AW$7,IF(AU94&lt;AX$7,(((Volatilities_Resets!$S83-Volatilities_Resets!$Q83)/50)*((Calculator!AU94-Calculator!AW$7)*10000)+Volatilities_Resets!$Q83)),IF(AU94&gt;=AW$6,IF(AU94&lt;AX$6,(((Volatilities_Resets!$Q83-Volatilities_Resets!$O83)/50)*((Calculator!AU94-Calculator!AW$6)*10000)+Volatilities_Resets!$O83)),IF(AU94&gt;=AW$5,IF(AU94&lt;AX$5,(((Volatilities_Resets!$O83-Volatilities_Resets!$M83)/50)*((Calculator!AU94-Calculator!AW$5)*10000)+Volatilities_Resets!$M83)),IF(AU94&gt;=AW$4,IF(AU94&lt;AX$4,(((Volatilities_Resets!$M83-Volatilities_Resets!$K83)/50)*((Calculator!AU94-Calculator!AW$4)*10000)+Volatilities_Resets!$K83)),IF(AU94&gt;=AW$3,IF(AU94&lt;AX$3,(((Volatilities_Resets!$K83-Volatilities_Resets!$I83)/50)*((Calculator!AU94-Calculator!AW$3)*10000)+Volatilities_Resets!$I83)),IF(AU94&gt;=AW$2,IF(AU94&lt;AX$2,(((Volatilities_Resets!$I83-Volatilities_Resets!$G83)/50)*((Calculator!AU94-Calculator!AW$2)*10000)+Volatilities_Resets!$G83)),"Well, something broke...")))))))))))/10000</f>
        <v>1.1320999999999999E-2</v>
      </c>
      <c r="AX94" s="63">
        <f t="shared" ca="1" si="83"/>
        <v>16950.315882621715</v>
      </c>
      <c r="AY94" s="63">
        <f t="shared" ca="1" si="84"/>
        <v>6.8454093893349408E-4</v>
      </c>
      <c r="AZ94" s="63">
        <f t="shared" ca="1" si="98"/>
        <v>1527403.6674549077</v>
      </c>
      <c r="BC94" s="63">
        <f t="shared" ca="1" si="63"/>
        <v>123.55081461266394</v>
      </c>
      <c r="BD94" s="63">
        <f ca="1">SUM($BC$15:BC94)</f>
        <v>7941.1302476806413</v>
      </c>
      <c r="BF94" s="52">
        <f ca="1">EXP(-AVERAGE(AV$15:AV94)*AS94)</f>
        <v>0.75701634998050427</v>
      </c>
      <c r="BH94" s="52">
        <f t="shared" ca="1" si="85"/>
        <v>80</v>
      </c>
      <c r="BI94" s="71">
        <f t="shared" ca="1" si="86"/>
        <v>47595</v>
      </c>
      <c r="BJ94" s="71">
        <f t="shared" ca="1" si="64"/>
        <v>47625</v>
      </c>
      <c r="BK94" s="72">
        <f t="shared" ca="1" si="65"/>
        <v>30</v>
      </c>
      <c r="BL94" s="73">
        <f ca="1">SUM(BK$15:BK94)/360</f>
        <v>6.7611111111111111</v>
      </c>
      <c r="BM94" s="74">
        <f t="shared" si="66"/>
        <v>25000000</v>
      </c>
      <c r="BN94" s="59">
        <f t="shared" si="87"/>
        <v>0.05</v>
      </c>
      <c r="BO94" s="57">
        <f>Volatilities_Resets!$E83*0.01</f>
        <v>3.7951100000000001E-2</v>
      </c>
      <c r="BP94" s="61">
        <f>IF(BN94=BQ$11,Volatilities_Resets!$AA83,IF(BN94&gt;=BP$11,IF(BN94&lt;BQ$11,(((Volatilities_Resets!$AA83-Volatilities_Resets!$Y83)/50)*((Calculator!BN94-Calculator!BP$11)*10000)+Volatilities_Resets!$Y83)),IF(BN94&gt;=BP$10,IF(BN94&lt;BQ$10,(((Volatilities_Resets!$Y83-Volatilities_Resets!$W83)/50)*((Calculator!BN94-Calculator!BP$10)*10000)+Volatilities_Resets!$W83)),IF(BN94&gt;=BP$9,IF(BN94&lt;BQ$9,(((Volatilities_Resets!$W83-Volatilities_Resets!$U83)/50)*((Calculator!BN94-Calculator!BP$9)*10000)+Volatilities_Resets!$U83)),IF(BN94&gt;=BP$8,IF(BN94&lt;BQ$8,(((Volatilities_Resets!$U83-Volatilities_Resets!$S83)/50)*((Calculator!BN94-Calculator!BP$8)*10000)+Volatilities_Resets!$S83)),IF(BN94&gt;=BP$7,IF(BN94&lt;BQ$7,(((Volatilities_Resets!$S83-Volatilities_Resets!$Q83)/50)*((Calculator!BN94-Calculator!BP$7)*10000)+Volatilities_Resets!$Q83)),IF(BN94&gt;=BP$6,IF(BN94&lt;BQ$6,(((Volatilities_Resets!$Q83-Volatilities_Resets!$O83)/50)*((Calculator!BN94-Calculator!BP$6)*10000)+Volatilities_Resets!$O83)),IF(BN94&gt;=BP$5,IF(BN94&lt;BQ$5,(((Volatilities_Resets!$O83-Volatilities_Resets!$M83)/50)*((Calculator!BN94-Calculator!BP$5)*10000)+Volatilities_Resets!$M83)),IF(BN94&gt;=BP$4,IF(BN94&lt;BQ$4,(((Volatilities_Resets!$M83-Volatilities_Resets!$K83)/50)*((Calculator!BN94-Calculator!BP$4)*10000)+Volatilities_Resets!$K83)),IF(BN94&gt;=BP$3,IF(BN94&lt;BQ$3,(((Volatilities_Resets!$K83-Volatilities_Resets!$I83)/50)*((Calculator!BN94-Calculator!BP$3)*10000)+Volatilities_Resets!$I83)),IF(BN94&gt;=BP$2,IF(BN94&lt;BQ$2,(((Volatilities_Resets!$I83-Volatilities_Resets!$G83)/50)*((Calculator!BN94-Calculator!BP$2)*10000)+Volatilities_Resets!$G83)),"Well, something broke...")))))))))))/10000</f>
        <v>1.1968000000000001E-2</v>
      </c>
      <c r="BQ94" s="63">
        <f t="shared" ca="1" si="88"/>
        <v>11527.914224658785</v>
      </c>
      <c r="BR94" s="63">
        <f t="shared" ca="1" si="89"/>
        <v>4.6719176259777989E-4</v>
      </c>
      <c r="BS94" s="63">
        <f t="shared" ca="1" si="99"/>
        <v>813947.34321801597</v>
      </c>
      <c r="BV94" s="63">
        <f t="shared" ca="1" si="90"/>
        <v>114.97552232871119</v>
      </c>
      <c r="BW94" s="63">
        <f ca="1">SUM($BV$15:BV94)</f>
        <v>7608.0910839300077</v>
      </c>
      <c r="BY94" s="52">
        <f ca="1">EXP(-AVERAGE(BO$15:BO94)*BL94)</f>
        <v>0.75701634998050427</v>
      </c>
      <c r="CA94" s="52">
        <f t="shared" ca="1" si="91"/>
        <v>80</v>
      </c>
      <c r="CB94" s="71">
        <f t="shared" ca="1" si="92"/>
        <v>47595</v>
      </c>
      <c r="CC94" s="71">
        <f t="shared" ca="1" si="67"/>
        <v>47625</v>
      </c>
      <c r="CD94" s="72">
        <f t="shared" ca="1" si="68"/>
        <v>30</v>
      </c>
      <c r="CE94" s="73">
        <f ca="1">SUM(CD$15:CD94)/360</f>
        <v>6.7611111111111111</v>
      </c>
      <c r="CF94" s="74">
        <f t="shared" si="69"/>
        <v>25000000</v>
      </c>
      <c r="CG94" s="59">
        <f t="shared" si="93"/>
        <v>0.06</v>
      </c>
      <c r="CH94" s="57">
        <f>Volatilities_Resets!$E83*0.01</f>
        <v>3.7951100000000001E-2</v>
      </c>
      <c r="CI94" s="61">
        <f>IF(CG94=CJ$11,Volatilities_Resets!$AA83,IF(CG94&gt;=CI$11,IF(CG94&lt;CJ$11,(((Volatilities_Resets!$AA83-Volatilities_Resets!$Y83)/50)*((Calculator!CG94-Calculator!CI$11)*10000)+Volatilities_Resets!$Y83)),IF(CG94&gt;=CI$10,IF(CG94&lt;CJ$10,(((Volatilities_Resets!$Y83-Volatilities_Resets!$W83)/50)*((Calculator!CG94-Calculator!CI$10)*10000)+Volatilities_Resets!$W83)),IF(CG94&gt;=CI$9,IF(CG94&lt;CJ$9,(((Volatilities_Resets!$W83-Volatilities_Resets!$U83)/50)*((Calculator!CG94-Calculator!CI$9)*10000)+Volatilities_Resets!$U83)),IF(CG94&gt;=CI$8,IF(CG94&lt;CJ$8,(((Volatilities_Resets!$U83-Volatilities_Resets!$S83)/50)*((Calculator!CG94-Calculator!CI$8)*10000)+Volatilities_Resets!$S83)),IF(CG94&gt;=CI$7,IF(CG94&lt;CJ$7,(((Volatilities_Resets!$S83-Volatilities_Resets!$Q83)/50)*((Calculator!CG94-Calculator!CI$7)*10000)+Volatilities_Resets!$Q83)),IF(CG94&gt;=CI$6,IF(CG94&lt;CJ$6,(((Volatilities_Resets!$Q83-Volatilities_Resets!$O83)/50)*((Calculator!CG94-Calculator!CI$6)*10000)+Volatilities_Resets!$O83)),IF(CG94&gt;=CI$5,IF(CG94&lt;CJ$5,(((Volatilities_Resets!$O83-Volatilities_Resets!$M83)/50)*((Calculator!CG94-Calculator!CI$5)*10000)+Volatilities_Resets!$M83)),IF(CG94&gt;=CI$4,IF(CG94&lt;CJ$4,(((Volatilities_Resets!$M83-Volatilities_Resets!$K83)/50)*((Calculator!CG94-Calculator!CI$4)*10000)+Volatilities_Resets!$K83)),IF(CG94&gt;=CI$3,IF(CG94&lt;CJ$3,(((Volatilities_Resets!$K83-Volatilities_Resets!$I83)/50)*((Calculator!CG94-Calculator!CI$3)*10000)+Volatilities_Resets!$I83)),IF(CG94&gt;=CI$2,IF(CG94&lt;CJ$2,(((Volatilities_Resets!$I83-Volatilities_Resets!$G83)/50)*((Calculator!CG94-Calculator!CI$2)*10000)+Volatilities_Resets!$G83)),"Well, something broke...")))))))))))/10000</f>
        <v>1.2784999999999999E-2</v>
      </c>
      <c r="CJ94" s="63">
        <f t="shared" ca="1" si="94"/>
        <v>7968.4221083982293</v>
      </c>
      <c r="CK94" s="63">
        <f t="shared" ca="1" si="95"/>
        <v>3.2399780226865339E-4</v>
      </c>
      <c r="CL94" s="63">
        <f t="shared" ca="1" si="100"/>
        <v>426717.56153746188</v>
      </c>
      <c r="CO94" s="63">
        <f t="shared" ca="1" si="96"/>
        <v>99.565022274446932</v>
      </c>
      <c r="CP94" s="63">
        <f ca="1">SUM($CO$15:CO94)</f>
        <v>6030.8717784448636</v>
      </c>
      <c r="CR94" s="52">
        <f ca="1">EXP(-AVERAGE(CH$15:CH94)*CE94)</f>
        <v>0.75701634998050427</v>
      </c>
      <c r="CT94"/>
      <c r="CU94"/>
      <c r="CV94"/>
      <c r="CW94"/>
      <c r="CX94"/>
      <c r="CY94"/>
      <c r="CZ94"/>
      <c r="DA94"/>
      <c r="DB94"/>
      <c r="DC94"/>
      <c r="DD94"/>
      <c r="DE94"/>
      <c r="DF94"/>
      <c r="DG94"/>
      <c r="DH94"/>
      <c r="DI94"/>
      <c r="DJ94"/>
      <c r="DK94"/>
      <c r="DL94"/>
    </row>
    <row r="95" spans="2:116" ht="15.75" customHeight="1" x14ac:dyDescent="0.2">
      <c r="B95" s="52">
        <v>7</v>
      </c>
      <c r="C95" s="52">
        <f t="shared" ca="1" si="52"/>
        <v>81</v>
      </c>
      <c r="D95" s="71">
        <f t="shared" ca="1" si="70"/>
        <v>47625</v>
      </c>
      <c r="E95" s="71">
        <f t="shared" ca="1" si="53"/>
        <v>47656</v>
      </c>
      <c r="F95" s="72">
        <f t="shared" ca="1" si="54"/>
        <v>31</v>
      </c>
      <c r="G95" s="73">
        <f ca="1">SUM($F$15:F95)/360</f>
        <v>6.8472222222222223</v>
      </c>
      <c r="H95" s="74">
        <f t="shared" si="56"/>
        <v>25000000</v>
      </c>
      <c r="I95" s="59">
        <f>IF('Cap Pricer'!$E$22=DataValidation!$C$2,'Cap Pricer'!$E$23,IF('Cap Pricer'!$E$22=DataValidation!$C$3,VLOOKUP($B95,'Cap Pricer'!$C$25:$E$31,3),""))</f>
        <v>0.02</v>
      </c>
      <c r="J95" s="57">
        <f>Volatilities_Resets!$E84*0.01</f>
        <v>3.7953100000000003E-2</v>
      </c>
      <c r="K95" s="61">
        <f>IF(I95=L$11,Volatilities_Resets!$AA84,IF(I95&gt;=K$11,IF(I95&lt;L$11,(((Volatilities_Resets!$AA84-Volatilities_Resets!$Y84)/50)*((Calculator!I95-Calculator!K$11)*10000)+Volatilities_Resets!$Y84)),IF(I95&gt;=K$10,IF(I95&lt;L$10,(((Volatilities_Resets!$Y84-Volatilities_Resets!$W84)/50)*((Calculator!I95-Calculator!K$10)*10000)+Volatilities_Resets!$W84)),IF(I95&gt;=K$9,IF(I95&lt;L$9,(((Volatilities_Resets!$W84-Volatilities_Resets!$U84)/50)*((Calculator!I95-Calculator!K$9)*10000)+Volatilities_Resets!$U84)),IF(I95&gt;=K$8,IF(I95&lt;L$8,(((Volatilities_Resets!$U84-Volatilities_Resets!$S84)/50)*((Calculator!I95-Calculator!K$8)*10000)+Volatilities_Resets!$S84)),IF(I95&gt;=K$7,IF(I95&lt;L$7,(((Volatilities_Resets!$S84-Volatilities_Resets!$Q84)/50)*((Calculator!I95-Calculator!K$7)*10000)+Volatilities_Resets!$Q84)),IF(I95&gt;=K$6,IF(I95&lt;L$6,(((Volatilities_Resets!$Q84-Volatilities_Resets!$O84)/50)*((Calculator!I95-Calculator!K$6)*10000)+Volatilities_Resets!$O84)),IF(I95&gt;=K$5,IF(I95&lt;L$5,(((Volatilities_Resets!$O84-Volatilities_Resets!$M84)/50)*((Calculator!I95-Calculator!K$5)*10000)+Volatilities_Resets!$M84)),IF(I95&gt;=K$4,IF(I95&lt;L$4,(((Volatilities_Resets!$M84-Volatilities_Resets!$K84)/50)*((Calculator!I95-Calculator!K$4)*10000)+Volatilities_Resets!$K84)),IF(I95&gt;=K$3,IF(I95&lt;L$3,(((Volatilities_Resets!$K84-Volatilities_Resets!$I84)/50)*((Calculator!I95-Calculator!K$3)*10000)+Volatilities_Resets!$I84)),IF(I95&gt;=K$2,IF(I95&lt;L$2,(((Volatilities_Resets!$I84-Volatilities_Resets!$G84)/50)*((Calculator!I95-Calculator!K$2)*10000)+Volatilities_Resets!$G84)),"Well, something broke...")))))))))))/10000</f>
        <v>1.0723999999999999E-2</v>
      </c>
      <c r="L95" s="47">
        <f t="shared" ca="1" si="71"/>
        <v>36365.561026922733</v>
      </c>
      <c r="M95" s="63">
        <f t="shared" ca="1" si="72"/>
        <v>1.4601604204574261E-3</v>
      </c>
      <c r="N95" s="63">
        <f t="shared" ca="1" si="55"/>
        <v>3636893.0836515012</v>
      </c>
      <c r="Q95" s="63">
        <f t="shared" ca="1" si="73"/>
        <v>104.46601853662857</v>
      </c>
      <c r="R95" s="63">
        <f ca="1">SUM($Q$15:Q95)</f>
        <v>6217.7212610017896</v>
      </c>
      <c r="T95" s="52">
        <f ca="1">EXP(-AVERAGE(J$15:J95)*G95)</f>
        <v>0.75454248821621206</v>
      </c>
      <c r="U95" s="57"/>
      <c r="V95" s="52">
        <f t="shared" ca="1" si="74"/>
        <v>81</v>
      </c>
      <c r="W95" s="71">
        <f t="shared" ca="1" si="75"/>
        <v>47625</v>
      </c>
      <c r="X95" s="71">
        <f t="shared" ca="1" si="57"/>
        <v>47656</v>
      </c>
      <c r="Y95" s="72">
        <f t="shared" ca="1" si="58"/>
        <v>31</v>
      </c>
      <c r="Z95" s="73">
        <f ca="1">SUM(Y$15:Y95)/360</f>
        <v>6.8472222222222223</v>
      </c>
      <c r="AA95" s="74">
        <f t="shared" si="59"/>
        <v>25000000</v>
      </c>
      <c r="AB95" s="59">
        <f t="shared" si="76"/>
        <v>0.03</v>
      </c>
      <c r="AC95" s="57">
        <f>Volatilities_Resets!$E84*0.01</f>
        <v>3.7953100000000003E-2</v>
      </c>
      <c r="AD95" s="61">
        <f>IF(AB95=AE$11,Volatilities_Resets!$AA84,IF(AB95&gt;=AD$11,IF(AB95&lt;AE$11,(((Volatilities_Resets!$AA84-Volatilities_Resets!$Y84)/50)*((Calculator!AB95-Calculator!AD$11)*10000)+Volatilities_Resets!$Y84)),IF(AB95&gt;=AD$10,IF(AB95&lt;AE$10,(((Volatilities_Resets!$Y84-Volatilities_Resets!$W84)/50)*((Calculator!AB95-Calculator!AD$10)*10000)+Volatilities_Resets!$W84)),IF(AB95&gt;=AD$9,IF(AB95&lt;AE$9,(((Volatilities_Resets!$W84-Volatilities_Resets!$U84)/50)*((Calculator!AB95-Calculator!AD$9)*10000)+Volatilities_Resets!$U84)),IF(AB95&gt;=AD$8,IF(AB95&lt;AE$8,(((Volatilities_Resets!$U84-Volatilities_Resets!$S84)/50)*((Calculator!AB95-Calculator!AD$8)*10000)+Volatilities_Resets!$S84)),IF(AB95&gt;=AD$7,IF(AB95&lt;AE$7,(((Volatilities_Resets!$S84-Volatilities_Resets!$Q84)/50)*((Calculator!AB95-Calculator!AD$7)*10000)+Volatilities_Resets!$Q84)),IF(AB95&gt;=AD$6,IF(AB95&lt;AE$6,(((Volatilities_Resets!$Q84-Volatilities_Resets!$O84)/50)*((Calculator!AB95-Calculator!AD$6)*10000)+Volatilities_Resets!$O84)),IF(AB95&gt;=AD$5,IF(AB95&lt;AE$5,(((Volatilities_Resets!$O84-Volatilities_Resets!$M84)/50)*((Calculator!AB95-Calculator!AD$5)*10000)+Volatilities_Resets!$M84)),IF(AB95&gt;=AD$4,IF(AB95&lt;AE$4,(((Volatilities_Resets!$M84-Volatilities_Resets!$K84)/50)*((Calculator!AB95-Calculator!AD$4)*10000)+Volatilities_Resets!$K84)),IF(AB95&gt;=AD$3,IF(AB95&lt;AE$3,(((Volatilities_Resets!$K84-Volatilities_Resets!$I84)/50)*((Calculator!AB95-Calculator!AD$3)*10000)+Volatilities_Resets!$I84)),IF(AB95&gt;=AD$2,IF(AB95&lt;AE$2,(((Volatilities_Resets!$I84-Volatilities_Resets!$G84)/50)*((Calculator!AB95-Calculator!AD$2)*10000)+Volatilities_Resets!$G84)),"Well, something broke...")))))))))))/10000</f>
        <v>1.0902E-2</v>
      </c>
      <c r="AE95" s="63">
        <f t="shared" ca="1" si="77"/>
        <v>25659.721665068064</v>
      </c>
      <c r="AF95" s="63">
        <f t="shared" ca="1" si="78"/>
        <v>1.0329154573257013E-3</v>
      </c>
      <c r="AG95" s="63">
        <f t="shared" ca="1" si="97"/>
        <v>2504712.7899914496</v>
      </c>
      <c r="AJ95" s="63">
        <f t="shared" ca="1" si="79"/>
        <v>123.11475009213082</v>
      </c>
      <c r="AK95" s="63">
        <f ca="1">SUM($AJ$15:AJ95)</f>
        <v>7534.742763741986</v>
      </c>
      <c r="AM95" s="52">
        <f ca="1">EXP(-AVERAGE(AC$15:AC95)*Z95)</f>
        <v>0.75454248821621206</v>
      </c>
      <c r="AO95" s="52">
        <f t="shared" ca="1" si="80"/>
        <v>81</v>
      </c>
      <c r="AP95" s="71">
        <f t="shared" ca="1" si="81"/>
        <v>47625</v>
      </c>
      <c r="AQ95" s="71">
        <f t="shared" ca="1" si="60"/>
        <v>47656</v>
      </c>
      <c r="AR95" s="72">
        <f t="shared" ca="1" si="61"/>
        <v>31</v>
      </c>
      <c r="AS95" s="73">
        <f ca="1">SUM(AR$15:AR95)/360</f>
        <v>6.8472222222222223</v>
      </c>
      <c r="AT95" s="74">
        <f t="shared" si="62"/>
        <v>25000000</v>
      </c>
      <c r="AU95" s="59">
        <f t="shared" si="82"/>
        <v>0.04</v>
      </c>
      <c r="AV95" s="57">
        <f>Volatilities_Resets!$E84*0.01</f>
        <v>3.7953100000000003E-2</v>
      </c>
      <c r="AW95" s="61">
        <f>IF(AU95=AX$11,Volatilities_Resets!$AA84,IF(AU95&gt;=AW$11,IF(AU95&lt;AX$11,(((Volatilities_Resets!$AA84-Volatilities_Resets!$Y84)/50)*((Calculator!AU95-Calculator!AW$11)*10000)+Volatilities_Resets!$Y84)),IF(AU95&gt;=AW$10,IF(AU95&lt;AX$10,(((Volatilities_Resets!$Y84-Volatilities_Resets!$W84)/50)*((Calculator!AU95-Calculator!AW$10)*10000)+Volatilities_Resets!$W84)),IF(AU95&gt;=AW$9,IF(AU95&lt;AX$9,(((Volatilities_Resets!$W84-Volatilities_Resets!$U84)/50)*((Calculator!AU95-Calculator!AW$9)*10000)+Volatilities_Resets!$U84)),IF(AU95&gt;=AW$8,IF(AU95&lt;AX$8,(((Volatilities_Resets!$U84-Volatilities_Resets!$S84)/50)*((Calculator!AU95-Calculator!AW$8)*10000)+Volatilities_Resets!$S84)),IF(AU95&gt;=AW$7,IF(AU95&lt;AX$7,(((Volatilities_Resets!$S84-Volatilities_Resets!$Q84)/50)*((Calculator!AU95-Calculator!AW$7)*10000)+Volatilities_Resets!$Q84)),IF(AU95&gt;=AW$6,IF(AU95&lt;AX$6,(((Volatilities_Resets!$Q84-Volatilities_Resets!$O84)/50)*((Calculator!AU95-Calculator!AW$6)*10000)+Volatilities_Resets!$O84)),IF(AU95&gt;=AW$5,IF(AU95&lt;AX$5,(((Volatilities_Resets!$O84-Volatilities_Resets!$M84)/50)*((Calculator!AU95-Calculator!AW$5)*10000)+Volatilities_Resets!$M84)),IF(AU95&gt;=AW$4,IF(AU95&lt;AX$4,(((Volatilities_Resets!$M84-Volatilities_Resets!$K84)/50)*((Calculator!AU95-Calculator!AW$4)*10000)+Volatilities_Resets!$K84)),IF(AU95&gt;=AW$3,IF(AU95&lt;AX$3,(((Volatilities_Resets!$K84-Volatilities_Resets!$I84)/50)*((Calculator!AU95-Calculator!AW$3)*10000)+Volatilities_Resets!$I84)),IF(AU95&gt;=AW$2,IF(AU95&lt;AX$2,(((Volatilities_Resets!$I84-Volatilities_Resets!$G84)/50)*((Calculator!AU95-Calculator!AW$2)*10000)+Volatilities_Resets!$G84)),"Well, something broke...")))))))))))/10000</f>
        <v>1.1322E-2</v>
      </c>
      <c r="AX95" s="63">
        <f t="shared" ca="1" si="83"/>
        <v>17582.116998524318</v>
      </c>
      <c r="AY95" s="63">
        <f t="shared" ca="1" si="84"/>
        <v>7.100514700109869E-4</v>
      </c>
      <c r="AZ95" s="63">
        <f t="shared" ca="1" si="98"/>
        <v>1544985.7844534321</v>
      </c>
      <c r="BC95" s="63">
        <f t="shared" ca="1" si="63"/>
        <v>127.64576541663064</v>
      </c>
      <c r="BD95" s="63">
        <f ca="1">SUM($BC$15:BC95)</f>
        <v>8068.776013097272</v>
      </c>
      <c r="BF95" s="52">
        <f ca="1">EXP(-AVERAGE(AV$15:AV95)*AS95)</f>
        <v>0.75454248821621206</v>
      </c>
      <c r="BH95" s="52">
        <f t="shared" ca="1" si="85"/>
        <v>81</v>
      </c>
      <c r="BI95" s="71">
        <f t="shared" ca="1" si="86"/>
        <v>47625</v>
      </c>
      <c r="BJ95" s="71">
        <f t="shared" ca="1" si="64"/>
        <v>47656</v>
      </c>
      <c r="BK95" s="72">
        <f t="shared" ca="1" si="65"/>
        <v>31</v>
      </c>
      <c r="BL95" s="73">
        <f ca="1">SUM(BK$15:BK95)/360</f>
        <v>6.8472222222222223</v>
      </c>
      <c r="BM95" s="74">
        <f t="shared" si="66"/>
        <v>25000000</v>
      </c>
      <c r="BN95" s="59">
        <f t="shared" si="87"/>
        <v>0.05</v>
      </c>
      <c r="BO95" s="57">
        <f>Volatilities_Resets!$E84*0.01</f>
        <v>3.7953100000000003E-2</v>
      </c>
      <c r="BP95" s="61">
        <f>IF(BN95=BQ$11,Volatilities_Resets!$AA84,IF(BN95&gt;=BP$11,IF(BN95&lt;BQ$11,(((Volatilities_Resets!$AA84-Volatilities_Resets!$Y84)/50)*((Calculator!BN95-Calculator!BP$11)*10000)+Volatilities_Resets!$Y84)),IF(BN95&gt;=BP$10,IF(BN95&lt;BQ$10,(((Volatilities_Resets!$Y84-Volatilities_Resets!$W84)/50)*((Calculator!BN95-Calculator!BP$10)*10000)+Volatilities_Resets!$W84)),IF(BN95&gt;=BP$9,IF(BN95&lt;BQ$9,(((Volatilities_Resets!$W84-Volatilities_Resets!$U84)/50)*((Calculator!BN95-Calculator!BP$9)*10000)+Volatilities_Resets!$U84)),IF(BN95&gt;=BP$8,IF(BN95&lt;BQ$8,(((Volatilities_Resets!$U84-Volatilities_Resets!$S84)/50)*((Calculator!BN95-Calculator!BP$8)*10000)+Volatilities_Resets!$S84)),IF(BN95&gt;=BP$7,IF(BN95&lt;BQ$7,(((Volatilities_Resets!$S84-Volatilities_Resets!$Q84)/50)*((Calculator!BN95-Calculator!BP$7)*10000)+Volatilities_Resets!$Q84)),IF(BN95&gt;=BP$6,IF(BN95&lt;BQ$6,(((Volatilities_Resets!$Q84-Volatilities_Resets!$O84)/50)*((Calculator!BN95-Calculator!BP$6)*10000)+Volatilities_Resets!$O84)),IF(BN95&gt;=BP$5,IF(BN95&lt;BQ$5,(((Volatilities_Resets!$O84-Volatilities_Resets!$M84)/50)*((Calculator!BN95-Calculator!BP$5)*10000)+Volatilities_Resets!$M84)),IF(BN95&gt;=BP$4,IF(BN95&lt;BQ$4,(((Volatilities_Resets!$M84-Volatilities_Resets!$K84)/50)*((Calculator!BN95-Calculator!BP$4)*10000)+Volatilities_Resets!$K84)),IF(BN95&gt;=BP$3,IF(BN95&lt;BQ$3,(((Volatilities_Resets!$K84-Volatilities_Resets!$I84)/50)*((Calculator!BN95-Calculator!BP$3)*10000)+Volatilities_Resets!$I84)),IF(BN95&gt;=BP$2,IF(BN95&lt;BQ$2,(((Volatilities_Resets!$I84-Volatilities_Resets!$G84)/50)*((Calculator!BN95-Calculator!BP$2)*10000)+Volatilities_Resets!$G84)),"Well, something broke...")))))))))))/10000</f>
        <v>1.1969E-2</v>
      </c>
      <c r="BQ95" s="63">
        <f t="shared" ca="1" si="88"/>
        <v>11994.788549351053</v>
      </c>
      <c r="BR95" s="63">
        <f t="shared" ca="1" si="89"/>
        <v>4.8609456733195969E-4</v>
      </c>
      <c r="BS95" s="63">
        <f t="shared" ca="1" si="99"/>
        <v>825942.13176736701</v>
      </c>
      <c r="BV95" s="63">
        <f t="shared" ca="1" si="90"/>
        <v>118.89751092132514</v>
      </c>
      <c r="BW95" s="63">
        <f ca="1">SUM($BV$15:BV95)</f>
        <v>7726.9885948513329</v>
      </c>
      <c r="BY95" s="52">
        <f ca="1">EXP(-AVERAGE(BO$15:BO95)*BL95)</f>
        <v>0.75454248821621206</v>
      </c>
      <c r="CA95" s="52">
        <f t="shared" ca="1" si="91"/>
        <v>81</v>
      </c>
      <c r="CB95" s="71">
        <f t="shared" ca="1" si="92"/>
        <v>47625</v>
      </c>
      <c r="CC95" s="71">
        <f t="shared" ca="1" si="67"/>
        <v>47656</v>
      </c>
      <c r="CD95" s="72">
        <f t="shared" ca="1" si="68"/>
        <v>31</v>
      </c>
      <c r="CE95" s="73">
        <f ca="1">SUM(CD$15:CD95)/360</f>
        <v>6.8472222222222223</v>
      </c>
      <c r="CF95" s="74">
        <f t="shared" si="69"/>
        <v>25000000</v>
      </c>
      <c r="CG95" s="59">
        <f t="shared" si="93"/>
        <v>0.06</v>
      </c>
      <c r="CH95" s="57">
        <f>Volatilities_Resets!$E84*0.01</f>
        <v>3.7953100000000003E-2</v>
      </c>
      <c r="CI95" s="61">
        <f>IF(CG95=CJ$11,Volatilities_Resets!$AA84,IF(CG95&gt;=CI$11,IF(CG95&lt;CJ$11,(((Volatilities_Resets!$AA84-Volatilities_Resets!$Y84)/50)*((Calculator!CG95-Calculator!CI$11)*10000)+Volatilities_Resets!$Y84)),IF(CG95&gt;=CI$10,IF(CG95&lt;CJ$10,(((Volatilities_Resets!$Y84-Volatilities_Resets!$W84)/50)*((Calculator!CG95-Calculator!CI$10)*10000)+Volatilities_Resets!$W84)),IF(CG95&gt;=CI$9,IF(CG95&lt;CJ$9,(((Volatilities_Resets!$W84-Volatilities_Resets!$U84)/50)*((Calculator!CG95-Calculator!CI$9)*10000)+Volatilities_Resets!$U84)),IF(CG95&gt;=CI$8,IF(CG95&lt;CJ$8,(((Volatilities_Resets!$U84-Volatilities_Resets!$S84)/50)*((Calculator!CG95-Calculator!CI$8)*10000)+Volatilities_Resets!$S84)),IF(CG95&gt;=CI$7,IF(CG95&lt;CJ$7,(((Volatilities_Resets!$S84-Volatilities_Resets!$Q84)/50)*((Calculator!CG95-Calculator!CI$7)*10000)+Volatilities_Resets!$Q84)),IF(CG95&gt;=CI$6,IF(CG95&lt;CJ$6,(((Volatilities_Resets!$Q84-Volatilities_Resets!$O84)/50)*((Calculator!CG95-Calculator!CI$6)*10000)+Volatilities_Resets!$O84)),IF(CG95&gt;=CI$5,IF(CG95&lt;CJ$5,(((Volatilities_Resets!$O84-Volatilities_Resets!$M84)/50)*((Calculator!CG95-Calculator!CI$5)*10000)+Volatilities_Resets!$M84)),IF(CG95&gt;=CI$4,IF(CG95&lt;CJ$4,(((Volatilities_Resets!$M84-Volatilities_Resets!$K84)/50)*((Calculator!CG95-Calculator!CI$4)*10000)+Volatilities_Resets!$K84)),IF(CG95&gt;=CI$3,IF(CG95&lt;CJ$3,(((Volatilities_Resets!$K84-Volatilities_Resets!$I84)/50)*((Calculator!CG95-Calculator!CI$3)*10000)+Volatilities_Resets!$I84)),IF(CG95&gt;=CI$2,IF(CG95&lt;CJ$2,(((Volatilities_Resets!$I84-Volatilities_Resets!$G84)/50)*((Calculator!CG95-Calculator!CI$2)*10000)+Volatilities_Resets!$G84)),"Well, something broke...")))))))))))/10000</f>
        <v>1.2786E-2</v>
      </c>
      <c r="CJ95" s="63">
        <f t="shared" ca="1" si="94"/>
        <v>8319.2259730225742</v>
      </c>
      <c r="CK95" s="63">
        <f t="shared" ca="1" si="95"/>
        <v>3.3823733618491868E-4</v>
      </c>
      <c r="CL95" s="63">
        <f t="shared" ca="1" si="100"/>
        <v>435036.78751048446</v>
      </c>
      <c r="CO95" s="63">
        <f t="shared" ca="1" si="96"/>
        <v>103.15156559740802</v>
      </c>
      <c r="CP95" s="63">
        <f ca="1">SUM($CO$15:CO95)</f>
        <v>6134.0233440422717</v>
      </c>
      <c r="CR95" s="52">
        <f ca="1">EXP(-AVERAGE(CH$15:CH95)*CE95)</f>
        <v>0.75454248821621206</v>
      </c>
      <c r="CT95"/>
      <c r="CU95"/>
      <c r="CV95"/>
      <c r="CW95"/>
      <c r="CX95"/>
      <c r="CY95"/>
      <c r="CZ95"/>
      <c r="DA95"/>
      <c r="DB95"/>
      <c r="DC95"/>
      <c r="DD95"/>
      <c r="DE95"/>
      <c r="DF95"/>
      <c r="DG95"/>
      <c r="DH95"/>
      <c r="DI95"/>
      <c r="DJ95"/>
      <c r="DK95"/>
      <c r="DL95"/>
    </row>
    <row r="96" spans="2:116" ht="15.75" customHeight="1" x14ac:dyDescent="0.2">
      <c r="B96" s="52">
        <v>7</v>
      </c>
      <c r="C96" s="52">
        <f t="shared" ca="1" si="52"/>
        <v>82</v>
      </c>
      <c r="D96" s="71">
        <f t="shared" ca="1" si="70"/>
        <v>47656</v>
      </c>
      <c r="E96" s="71">
        <f t="shared" ca="1" si="53"/>
        <v>47686</v>
      </c>
      <c r="F96" s="72">
        <f t="shared" ca="1" si="54"/>
        <v>30</v>
      </c>
      <c r="G96" s="73">
        <f ca="1">SUM($F$15:F96)/360</f>
        <v>6.9305555555555554</v>
      </c>
      <c r="H96" s="74">
        <f t="shared" si="56"/>
        <v>25000000</v>
      </c>
      <c r="I96" s="59">
        <f>IF('Cap Pricer'!$E$22=DataValidation!$C$2,'Cap Pricer'!$E$23,IF('Cap Pricer'!$E$22=DataValidation!$C$3,VLOOKUP($B96,'Cap Pricer'!$C$25:$E$31,3),""))</f>
        <v>0.02</v>
      </c>
      <c r="J96" s="57">
        <f>Volatilities_Resets!$E85*0.01</f>
        <v>3.7951100000000001E-2</v>
      </c>
      <c r="K96" s="61">
        <f>IF(I96=L$11,Volatilities_Resets!$AA85,IF(I96&gt;=K$11,IF(I96&lt;L$11,(((Volatilities_Resets!$AA85-Volatilities_Resets!$Y85)/50)*((Calculator!I96-Calculator!K$11)*10000)+Volatilities_Resets!$Y85)),IF(I96&gt;=K$10,IF(I96&lt;L$10,(((Volatilities_Resets!$Y85-Volatilities_Resets!$W85)/50)*((Calculator!I96-Calculator!K$10)*10000)+Volatilities_Resets!$W85)),IF(I96&gt;=K$9,IF(I96&lt;L$9,(((Volatilities_Resets!$W85-Volatilities_Resets!$U85)/50)*((Calculator!I96-Calculator!K$9)*10000)+Volatilities_Resets!$U85)),IF(I96&gt;=K$8,IF(I96&lt;L$8,(((Volatilities_Resets!$U85-Volatilities_Resets!$S85)/50)*((Calculator!I96-Calculator!K$8)*10000)+Volatilities_Resets!$S85)),IF(I96&gt;=K$7,IF(I96&lt;L$7,(((Volatilities_Resets!$S85-Volatilities_Resets!$Q85)/50)*((Calculator!I96-Calculator!K$7)*10000)+Volatilities_Resets!$Q85)),IF(I96&gt;=K$6,IF(I96&lt;L$6,(((Volatilities_Resets!$Q85-Volatilities_Resets!$O85)/50)*((Calculator!I96-Calculator!K$6)*10000)+Volatilities_Resets!$O85)),IF(I96&gt;=K$5,IF(I96&lt;L$5,(((Volatilities_Resets!$O85-Volatilities_Resets!$M85)/50)*((Calculator!I96-Calculator!K$5)*10000)+Volatilities_Resets!$M85)),IF(I96&gt;=K$4,IF(I96&lt;L$4,(((Volatilities_Resets!$M85-Volatilities_Resets!$K85)/50)*((Calculator!I96-Calculator!K$4)*10000)+Volatilities_Resets!$K85)),IF(I96&gt;=K$3,IF(I96&lt;L$3,(((Volatilities_Resets!$K85-Volatilities_Resets!$I85)/50)*((Calculator!I96-Calculator!K$3)*10000)+Volatilities_Resets!$I85)),IF(I96&gt;=K$2,IF(I96&lt;L$2,(((Volatilities_Resets!$I85-Volatilities_Resets!$G85)/50)*((Calculator!I96-Calculator!K$2)*10000)+Volatilities_Resets!$G85)),"Well, something broke...")))))))))))/10000</f>
        <v>1.0723999999999999E-2</v>
      </c>
      <c r="L96" s="47">
        <f t="shared" ca="1" si="71"/>
        <v>35166.013486594071</v>
      </c>
      <c r="M96" s="63">
        <f t="shared" ca="1" si="72"/>
        <v>1.4120287437604467E-3</v>
      </c>
      <c r="N96" s="63">
        <f t="shared" ca="1" si="55"/>
        <v>3672059.0971380952</v>
      </c>
      <c r="Q96" s="63">
        <f t="shared" ca="1" si="73"/>
        <v>101.32016876217875</v>
      </c>
      <c r="R96" s="63">
        <f ca="1">SUM($Q$15:Q96)</f>
        <v>6319.0414297639682</v>
      </c>
      <c r="T96" s="52">
        <f ca="1">EXP(-AVERAGE(J$15:J96)*G96)</f>
        <v>0.75216278510102508</v>
      </c>
      <c r="U96" s="57"/>
      <c r="V96" s="52">
        <f t="shared" ca="1" si="74"/>
        <v>82</v>
      </c>
      <c r="W96" s="71">
        <f t="shared" ca="1" si="75"/>
        <v>47656</v>
      </c>
      <c r="X96" s="71">
        <f t="shared" ca="1" si="57"/>
        <v>47686</v>
      </c>
      <c r="Y96" s="72">
        <f t="shared" ca="1" si="58"/>
        <v>30</v>
      </c>
      <c r="Z96" s="73">
        <f ca="1">SUM(Y$15:Y96)/360</f>
        <v>6.9305555555555554</v>
      </c>
      <c r="AA96" s="74">
        <f t="shared" si="59"/>
        <v>25000000</v>
      </c>
      <c r="AB96" s="59">
        <f t="shared" si="76"/>
        <v>0.03</v>
      </c>
      <c r="AC96" s="57">
        <f>Volatilities_Resets!$E85*0.01</f>
        <v>3.7951100000000001E-2</v>
      </c>
      <c r="AD96" s="61">
        <f>IF(AB96=AE$11,Volatilities_Resets!$AA85,IF(AB96&gt;=AD$11,IF(AB96&lt;AE$11,(((Volatilities_Resets!$AA85-Volatilities_Resets!$Y85)/50)*((Calculator!AB96-Calculator!AD$11)*10000)+Volatilities_Resets!$Y85)),IF(AB96&gt;=AD$10,IF(AB96&lt;AE$10,(((Volatilities_Resets!$Y85-Volatilities_Resets!$W85)/50)*((Calculator!AB96-Calculator!AD$10)*10000)+Volatilities_Resets!$W85)),IF(AB96&gt;=AD$9,IF(AB96&lt;AE$9,(((Volatilities_Resets!$W85-Volatilities_Resets!$U85)/50)*((Calculator!AB96-Calculator!AD$9)*10000)+Volatilities_Resets!$U85)),IF(AB96&gt;=AD$8,IF(AB96&lt;AE$8,(((Volatilities_Resets!$U85-Volatilities_Resets!$S85)/50)*((Calculator!AB96-Calculator!AD$8)*10000)+Volatilities_Resets!$S85)),IF(AB96&gt;=AD$7,IF(AB96&lt;AE$7,(((Volatilities_Resets!$S85-Volatilities_Resets!$Q85)/50)*((Calculator!AB96-Calculator!AD$7)*10000)+Volatilities_Resets!$Q85)),IF(AB96&gt;=AD$6,IF(AB96&lt;AE$6,(((Volatilities_Resets!$Q85-Volatilities_Resets!$O85)/50)*((Calculator!AB96-Calculator!AD$6)*10000)+Volatilities_Resets!$O85)),IF(AB96&gt;=AD$5,IF(AB96&lt;AE$5,(((Volatilities_Resets!$O85-Volatilities_Resets!$M85)/50)*((Calculator!AB96-Calculator!AD$5)*10000)+Volatilities_Resets!$M85)),IF(AB96&gt;=AD$4,IF(AB96&lt;AE$4,(((Volatilities_Resets!$M85-Volatilities_Resets!$K85)/50)*((Calculator!AB96-Calculator!AD$4)*10000)+Volatilities_Resets!$K85)),IF(AB96&gt;=AD$3,IF(AB96&lt;AE$3,(((Volatilities_Resets!$K85-Volatilities_Resets!$I85)/50)*((Calculator!AB96-Calculator!AD$3)*10000)+Volatilities_Resets!$I85)),IF(AB96&gt;=AD$2,IF(AB96&lt;AE$2,(((Volatilities_Resets!$I85-Volatilities_Resets!$G85)/50)*((Calculator!AB96-Calculator!AD$2)*10000)+Volatilities_Resets!$G85)),"Well, something broke...")))))))))))/10000</f>
        <v>1.0902E-2</v>
      </c>
      <c r="AE96" s="63">
        <f t="shared" ca="1" si="77"/>
        <v>24855.858100362973</v>
      </c>
      <c r="AF96" s="63">
        <f t="shared" ca="1" si="78"/>
        <v>1.0005717119392979E-3</v>
      </c>
      <c r="AG96" s="63">
        <f t="shared" ca="1" si="97"/>
        <v>2529568.6480918126</v>
      </c>
      <c r="AJ96" s="63">
        <f t="shared" ca="1" si="79"/>
        <v>119.16868379418497</v>
      </c>
      <c r="AK96" s="63">
        <f ca="1">SUM($AJ$15:AJ96)</f>
        <v>7653.9114475361712</v>
      </c>
      <c r="AM96" s="52">
        <f ca="1">EXP(-AVERAGE(AC$15:AC96)*Z96)</f>
        <v>0.75216278510102508</v>
      </c>
      <c r="AO96" s="52">
        <f t="shared" ca="1" si="80"/>
        <v>82</v>
      </c>
      <c r="AP96" s="71">
        <f t="shared" ca="1" si="81"/>
        <v>47656</v>
      </c>
      <c r="AQ96" s="71">
        <f t="shared" ca="1" si="60"/>
        <v>47686</v>
      </c>
      <c r="AR96" s="72">
        <f t="shared" ca="1" si="61"/>
        <v>30</v>
      </c>
      <c r="AS96" s="73">
        <f ca="1">SUM(AR$15:AR96)/360</f>
        <v>6.9305555555555554</v>
      </c>
      <c r="AT96" s="74">
        <f t="shared" si="62"/>
        <v>25000000</v>
      </c>
      <c r="AU96" s="59">
        <f t="shared" si="82"/>
        <v>0.04</v>
      </c>
      <c r="AV96" s="57">
        <f>Volatilities_Resets!$E85*0.01</f>
        <v>3.7951100000000001E-2</v>
      </c>
      <c r="AW96" s="61">
        <f>IF(AU96=AX$11,Volatilities_Resets!$AA85,IF(AU96&gt;=AW$11,IF(AU96&lt;AX$11,(((Volatilities_Resets!$AA85-Volatilities_Resets!$Y85)/50)*((Calculator!AU96-Calculator!AW$11)*10000)+Volatilities_Resets!$Y85)),IF(AU96&gt;=AW$10,IF(AU96&lt;AX$10,(((Volatilities_Resets!$Y85-Volatilities_Resets!$W85)/50)*((Calculator!AU96-Calculator!AW$10)*10000)+Volatilities_Resets!$W85)),IF(AU96&gt;=AW$9,IF(AU96&lt;AX$9,(((Volatilities_Resets!$W85-Volatilities_Resets!$U85)/50)*((Calculator!AU96-Calculator!AW$9)*10000)+Volatilities_Resets!$U85)),IF(AU96&gt;=AW$8,IF(AU96&lt;AX$8,(((Volatilities_Resets!$U85-Volatilities_Resets!$S85)/50)*((Calculator!AU96-Calculator!AW$8)*10000)+Volatilities_Resets!$S85)),IF(AU96&gt;=AW$7,IF(AU96&lt;AX$7,(((Volatilities_Resets!$S85-Volatilities_Resets!$Q85)/50)*((Calculator!AU96-Calculator!AW$7)*10000)+Volatilities_Resets!$Q85)),IF(AU96&gt;=AW$6,IF(AU96&lt;AX$6,(((Volatilities_Resets!$Q85-Volatilities_Resets!$O85)/50)*((Calculator!AU96-Calculator!AW$6)*10000)+Volatilities_Resets!$O85)),IF(AU96&gt;=AW$5,IF(AU96&lt;AX$5,(((Volatilities_Resets!$O85-Volatilities_Resets!$M85)/50)*((Calculator!AU96-Calculator!AW$5)*10000)+Volatilities_Resets!$M85)),IF(AU96&gt;=AW$4,IF(AU96&lt;AX$4,(((Volatilities_Resets!$M85-Volatilities_Resets!$K85)/50)*((Calculator!AU96-Calculator!AW$4)*10000)+Volatilities_Resets!$K85)),IF(AU96&gt;=AW$3,IF(AU96&lt;AX$3,(((Volatilities_Resets!$K85-Volatilities_Resets!$I85)/50)*((Calculator!AU96-Calculator!AW$3)*10000)+Volatilities_Resets!$I85)),IF(AU96&gt;=AW$2,IF(AU96&lt;AX$2,(((Volatilities_Resets!$I85-Volatilities_Resets!$G85)/50)*((Calculator!AU96-Calculator!AW$2)*10000)+Volatilities_Resets!$G85)),"Well, something broke...")))))))))))/10000</f>
        <v>1.1322E-2</v>
      </c>
      <c r="AX96" s="63">
        <f t="shared" ca="1" si="83"/>
        <v>17071.904288438716</v>
      </c>
      <c r="AY96" s="63">
        <f t="shared" ca="1" si="84"/>
        <v>6.894437850706054E-4</v>
      </c>
      <c r="AZ96" s="63">
        <f t="shared" ca="1" si="98"/>
        <v>1562057.6887418707</v>
      </c>
      <c r="BC96" s="63">
        <f t="shared" ca="1" si="63"/>
        <v>123.49786216227946</v>
      </c>
      <c r="BD96" s="63">
        <f ca="1">SUM($BC$15:BC96)</f>
        <v>8192.2738752595506</v>
      </c>
      <c r="BF96" s="52">
        <f ca="1">EXP(-AVERAGE(AV$15:AV96)*AS96)</f>
        <v>0.75216278510102508</v>
      </c>
      <c r="BH96" s="52">
        <f t="shared" ca="1" si="85"/>
        <v>82</v>
      </c>
      <c r="BI96" s="71">
        <f t="shared" ca="1" si="86"/>
        <v>47656</v>
      </c>
      <c r="BJ96" s="71">
        <f t="shared" ca="1" si="64"/>
        <v>47686</v>
      </c>
      <c r="BK96" s="72">
        <f t="shared" ca="1" si="65"/>
        <v>30</v>
      </c>
      <c r="BL96" s="73">
        <f ca="1">SUM(BK$15:BK96)/360</f>
        <v>6.9305555555555554</v>
      </c>
      <c r="BM96" s="74">
        <f t="shared" si="66"/>
        <v>25000000</v>
      </c>
      <c r="BN96" s="59">
        <f t="shared" si="87"/>
        <v>0.05</v>
      </c>
      <c r="BO96" s="57">
        <f>Volatilities_Resets!$E85*0.01</f>
        <v>3.7951100000000001E-2</v>
      </c>
      <c r="BP96" s="61">
        <f>IF(BN96=BQ$11,Volatilities_Resets!$AA85,IF(BN96&gt;=BP$11,IF(BN96&lt;BQ$11,(((Volatilities_Resets!$AA85-Volatilities_Resets!$Y85)/50)*((Calculator!BN96-Calculator!BP$11)*10000)+Volatilities_Resets!$Y85)),IF(BN96&gt;=BP$10,IF(BN96&lt;BQ$10,(((Volatilities_Resets!$Y85-Volatilities_Resets!$W85)/50)*((Calculator!BN96-Calculator!BP$10)*10000)+Volatilities_Resets!$W85)),IF(BN96&gt;=BP$9,IF(BN96&lt;BQ$9,(((Volatilities_Resets!$W85-Volatilities_Resets!$U85)/50)*((Calculator!BN96-Calculator!BP$9)*10000)+Volatilities_Resets!$U85)),IF(BN96&gt;=BP$8,IF(BN96&lt;BQ$8,(((Volatilities_Resets!$U85-Volatilities_Resets!$S85)/50)*((Calculator!BN96-Calculator!BP$8)*10000)+Volatilities_Resets!$S85)),IF(BN96&gt;=BP$7,IF(BN96&lt;BQ$7,(((Volatilities_Resets!$S85-Volatilities_Resets!$Q85)/50)*((Calculator!BN96-Calculator!BP$7)*10000)+Volatilities_Resets!$Q85)),IF(BN96&gt;=BP$6,IF(BN96&lt;BQ$6,(((Volatilities_Resets!$Q85-Volatilities_Resets!$O85)/50)*((Calculator!BN96-Calculator!BP$6)*10000)+Volatilities_Resets!$O85)),IF(BN96&gt;=BP$5,IF(BN96&lt;BQ$5,(((Volatilities_Resets!$O85-Volatilities_Resets!$M85)/50)*((Calculator!BN96-Calculator!BP$5)*10000)+Volatilities_Resets!$M85)),IF(BN96&gt;=BP$4,IF(BN96&lt;BQ$4,(((Volatilities_Resets!$M85-Volatilities_Resets!$K85)/50)*((Calculator!BN96-Calculator!BP$4)*10000)+Volatilities_Resets!$K85)),IF(BN96&gt;=BP$3,IF(BN96&lt;BQ$3,(((Volatilities_Resets!$K85-Volatilities_Resets!$I85)/50)*((Calculator!BN96-Calculator!BP$3)*10000)+Volatilities_Resets!$I85)),IF(BN96&gt;=BP$2,IF(BN96&lt;BQ$2,(((Volatilities_Resets!$I85-Volatilities_Resets!$G85)/50)*((Calculator!BN96-Calculator!BP$2)*10000)+Volatilities_Resets!$G85)),"Well, something broke...")))))))))))/10000</f>
        <v>1.1969E-2</v>
      </c>
      <c r="BQ96" s="63">
        <f t="shared" ca="1" si="88"/>
        <v>11680.512647536067</v>
      </c>
      <c r="BR96" s="63">
        <f t="shared" ca="1" si="89"/>
        <v>4.7334311055245942E-4</v>
      </c>
      <c r="BS96" s="63">
        <f t="shared" ca="1" si="99"/>
        <v>837622.64441490313</v>
      </c>
      <c r="BV96" s="63">
        <f t="shared" ca="1" si="90"/>
        <v>115.12988415953144</v>
      </c>
      <c r="BW96" s="63">
        <f ca="1">SUM($BV$15:BV96)</f>
        <v>7842.1184790108646</v>
      </c>
      <c r="BY96" s="52">
        <f ca="1">EXP(-AVERAGE(BO$15:BO96)*BL96)</f>
        <v>0.75216278510102508</v>
      </c>
      <c r="CA96" s="52">
        <f t="shared" ca="1" si="91"/>
        <v>82</v>
      </c>
      <c r="CB96" s="71">
        <f t="shared" ca="1" si="92"/>
        <v>47656</v>
      </c>
      <c r="CC96" s="71">
        <f t="shared" ca="1" si="67"/>
        <v>47686</v>
      </c>
      <c r="CD96" s="72">
        <f t="shared" ca="1" si="68"/>
        <v>30</v>
      </c>
      <c r="CE96" s="73">
        <f ca="1">SUM(CD$15:CD96)/360</f>
        <v>6.9305555555555554</v>
      </c>
      <c r="CF96" s="74">
        <f t="shared" si="69"/>
        <v>25000000</v>
      </c>
      <c r="CG96" s="59">
        <f t="shared" si="93"/>
        <v>0.06</v>
      </c>
      <c r="CH96" s="57">
        <f>Volatilities_Resets!$E85*0.01</f>
        <v>3.7951100000000001E-2</v>
      </c>
      <c r="CI96" s="61">
        <f>IF(CG96=CJ$11,Volatilities_Resets!$AA85,IF(CG96&gt;=CI$11,IF(CG96&lt;CJ$11,(((Volatilities_Resets!$AA85-Volatilities_Resets!$Y85)/50)*((Calculator!CG96-Calculator!CI$11)*10000)+Volatilities_Resets!$Y85)),IF(CG96&gt;=CI$10,IF(CG96&lt;CJ$10,(((Volatilities_Resets!$Y85-Volatilities_Resets!$W85)/50)*((Calculator!CG96-Calculator!CI$10)*10000)+Volatilities_Resets!$W85)),IF(CG96&gt;=CI$9,IF(CG96&lt;CJ$9,(((Volatilities_Resets!$W85-Volatilities_Resets!$U85)/50)*((Calculator!CG96-Calculator!CI$9)*10000)+Volatilities_Resets!$U85)),IF(CG96&gt;=CI$8,IF(CG96&lt;CJ$8,(((Volatilities_Resets!$U85-Volatilities_Resets!$S85)/50)*((Calculator!CG96-Calculator!CI$8)*10000)+Volatilities_Resets!$S85)),IF(CG96&gt;=CI$7,IF(CG96&lt;CJ$7,(((Volatilities_Resets!$S85-Volatilities_Resets!$Q85)/50)*((Calculator!CG96-Calculator!CI$7)*10000)+Volatilities_Resets!$Q85)),IF(CG96&gt;=CI$6,IF(CG96&lt;CJ$6,(((Volatilities_Resets!$Q85-Volatilities_Resets!$O85)/50)*((Calculator!CG96-Calculator!CI$6)*10000)+Volatilities_Resets!$O85)),IF(CG96&gt;=CI$5,IF(CG96&lt;CJ$5,(((Volatilities_Resets!$O85-Volatilities_Resets!$M85)/50)*((Calculator!CG96-Calculator!CI$5)*10000)+Volatilities_Resets!$M85)),IF(CG96&gt;=CI$4,IF(CG96&lt;CJ$4,(((Volatilities_Resets!$M85-Volatilities_Resets!$K85)/50)*((Calculator!CG96-Calculator!CI$4)*10000)+Volatilities_Resets!$K85)),IF(CG96&gt;=CI$3,IF(CG96&lt;CJ$3,(((Volatilities_Resets!$K85-Volatilities_Resets!$I85)/50)*((Calculator!CG96-Calculator!CI$3)*10000)+Volatilities_Resets!$I85)),IF(CG96&gt;=CI$2,IF(CG96&lt;CJ$2,(((Volatilities_Resets!$I85-Volatilities_Resets!$G85)/50)*((Calculator!CG96-Calculator!CI$2)*10000)+Volatilities_Resets!$G85)),"Well, something broke...")))))))))))/10000</f>
        <v>1.2786E-2</v>
      </c>
      <c r="CJ96" s="63">
        <f t="shared" ca="1" si="94"/>
        <v>8126.9307645189811</v>
      </c>
      <c r="CK96" s="63">
        <f t="shared" ca="1" si="95"/>
        <v>3.3039800448255406E-4</v>
      </c>
      <c r="CL96" s="63">
        <f t="shared" ca="1" si="100"/>
        <v>443163.71827500343</v>
      </c>
      <c r="CO96" s="63">
        <f t="shared" ca="1" si="96"/>
        <v>100.05220292167095</v>
      </c>
      <c r="CP96" s="63">
        <f ca="1">SUM($CO$15:CO96)</f>
        <v>6234.0755469639425</v>
      </c>
      <c r="CR96" s="52">
        <f ca="1">EXP(-AVERAGE(CH$15:CH96)*CE96)</f>
        <v>0.75216278510102508</v>
      </c>
      <c r="CT96"/>
      <c r="CU96"/>
      <c r="CV96"/>
      <c r="CW96"/>
      <c r="CX96"/>
      <c r="CY96"/>
      <c r="CZ96"/>
      <c r="DA96"/>
      <c r="DB96"/>
      <c r="DC96"/>
      <c r="DD96"/>
      <c r="DE96"/>
      <c r="DF96"/>
      <c r="DG96"/>
      <c r="DH96"/>
      <c r="DI96"/>
      <c r="DJ96"/>
      <c r="DK96"/>
      <c r="DL96"/>
    </row>
    <row r="97" spans="2:116" ht="15.75" customHeight="1" x14ac:dyDescent="0.2">
      <c r="B97" s="52">
        <v>7</v>
      </c>
      <c r="C97" s="52">
        <f t="shared" ca="1" si="52"/>
        <v>83</v>
      </c>
      <c r="D97" s="71">
        <f t="shared" ca="1" si="70"/>
        <v>47686</v>
      </c>
      <c r="E97" s="71">
        <f t="shared" ca="1" si="53"/>
        <v>47717</v>
      </c>
      <c r="F97" s="72">
        <f t="shared" ca="1" si="54"/>
        <v>31</v>
      </c>
      <c r="G97" s="73">
        <f ca="1">SUM($F$15:F97)/360</f>
        <v>7.0166666666666666</v>
      </c>
      <c r="H97" s="74">
        <f t="shared" si="56"/>
        <v>25000000</v>
      </c>
      <c r="I97" s="59">
        <f>IF('Cap Pricer'!$E$22=DataValidation!$C$2,'Cap Pricer'!$E$23,IF('Cap Pricer'!$E$22=DataValidation!$C$3,VLOOKUP($B97,'Cap Pricer'!$C$25:$E$31,3),""))</f>
        <v>0.02</v>
      </c>
      <c r="J97" s="57">
        <f>Volatilities_Resets!$E86*0.01</f>
        <v>3.7957100000000001E-2</v>
      </c>
      <c r="K97" s="61">
        <f>IF(I97=L$11,Volatilities_Resets!$AA86,IF(I97&gt;=K$11,IF(I97&lt;L$11,(((Volatilities_Resets!$AA86-Volatilities_Resets!$Y86)/50)*((Calculator!I97-Calculator!K$11)*10000)+Volatilities_Resets!$Y86)),IF(I97&gt;=K$10,IF(I97&lt;L$10,(((Volatilities_Resets!$Y86-Volatilities_Resets!$W86)/50)*((Calculator!I97-Calculator!K$10)*10000)+Volatilities_Resets!$W86)),IF(I97&gt;=K$9,IF(I97&lt;L$9,(((Volatilities_Resets!$W86-Volatilities_Resets!$U86)/50)*((Calculator!I97-Calculator!K$9)*10000)+Volatilities_Resets!$U86)),IF(I97&gt;=K$8,IF(I97&lt;L$8,(((Volatilities_Resets!$U86-Volatilities_Resets!$S86)/50)*((Calculator!I97-Calculator!K$8)*10000)+Volatilities_Resets!$S86)),IF(I97&gt;=K$7,IF(I97&lt;L$7,(((Volatilities_Resets!$S86-Volatilities_Resets!$Q86)/50)*((Calculator!I97-Calculator!K$7)*10000)+Volatilities_Resets!$Q86)),IF(I97&gt;=K$6,IF(I97&lt;L$6,(((Volatilities_Resets!$Q86-Volatilities_Resets!$O86)/50)*((Calculator!I97-Calculator!K$6)*10000)+Volatilities_Resets!$O86)),IF(I97&gt;=K$5,IF(I97&lt;L$5,(((Volatilities_Resets!$O86-Volatilities_Resets!$M86)/50)*((Calculator!I97-Calculator!K$5)*10000)+Volatilities_Resets!$M86)),IF(I97&gt;=K$4,IF(I97&lt;L$4,(((Volatilities_Resets!$M86-Volatilities_Resets!$K86)/50)*((Calculator!I97-Calculator!K$4)*10000)+Volatilities_Resets!$K86)),IF(I97&gt;=K$3,IF(I97&lt;L$3,(((Volatilities_Resets!$K86-Volatilities_Resets!$I86)/50)*((Calculator!I97-Calculator!K$3)*10000)+Volatilities_Resets!$I86)),IF(I97&gt;=K$2,IF(I97&lt;L$2,(((Volatilities_Resets!$I86-Volatilities_Resets!$G86)/50)*((Calculator!I97-Calculator!K$2)*10000)+Volatilities_Resets!$G86)),"Well, something broke...")))))))))))/10000</f>
        <v>1.0603E-2</v>
      </c>
      <c r="L97" s="47">
        <f t="shared" ca="1" si="71"/>
        <v>36150.064046435953</v>
      </c>
      <c r="M97" s="63">
        <f t="shared" ca="1" si="72"/>
        <v>1.4515742933032957E-3</v>
      </c>
      <c r="N97" s="63">
        <f t="shared" ca="1" si="55"/>
        <v>3708209.1611845312</v>
      </c>
      <c r="Q97" s="63">
        <f t="shared" ca="1" si="73"/>
        <v>104.42882216859238</v>
      </c>
      <c r="R97" s="63">
        <f ca="1">SUM($Q$15:Q97)</f>
        <v>6423.4702519325601</v>
      </c>
      <c r="T97" s="52">
        <f ca="1">EXP(-AVERAGE(J$15:J97)*G97)</f>
        <v>0.74970463442730839</v>
      </c>
      <c r="U97" s="57"/>
      <c r="V97" s="52">
        <f t="shared" ca="1" si="74"/>
        <v>83</v>
      </c>
      <c r="W97" s="71">
        <f t="shared" ca="1" si="75"/>
        <v>47686</v>
      </c>
      <c r="X97" s="71">
        <f t="shared" ca="1" si="57"/>
        <v>47717</v>
      </c>
      <c r="Y97" s="72">
        <f t="shared" ca="1" si="58"/>
        <v>31</v>
      </c>
      <c r="Z97" s="73">
        <f ca="1">SUM(Y$15:Y97)/360</f>
        <v>7.0166666666666666</v>
      </c>
      <c r="AA97" s="74">
        <f t="shared" si="59"/>
        <v>25000000</v>
      </c>
      <c r="AB97" s="59">
        <f t="shared" si="76"/>
        <v>0.03</v>
      </c>
      <c r="AC97" s="57">
        <f>Volatilities_Resets!$E86*0.01</f>
        <v>3.7957100000000001E-2</v>
      </c>
      <c r="AD97" s="61">
        <f>IF(AB97=AE$11,Volatilities_Resets!$AA86,IF(AB97&gt;=AD$11,IF(AB97&lt;AE$11,(((Volatilities_Resets!$AA86-Volatilities_Resets!$Y86)/50)*((Calculator!AB97-Calculator!AD$11)*10000)+Volatilities_Resets!$Y86)),IF(AB97&gt;=AD$10,IF(AB97&lt;AE$10,(((Volatilities_Resets!$Y86-Volatilities_Resets!$W86)/50)*((Calculator!AB97-Calculator!AD$10)*10000)+Volatilities_Resets!$W86)),IF(AB97&gt;=AD$9,IF(AB97&lt;AE$9,(((Volatilities_Resets!$W86-Volatilities_Resets!$U86)/50)*((Calculator!AB97-Calculator!AD$9)*10000)+Volatilities_Resets!$U86)),IF(AB97&gt;=AD$8,IF(AB97&lt;AE$8,(((Volatilities_Resets!$U86-Volatilities_Resets!$S86)/50)*((Calculator!AB97-Calculator!AD$8)*10000)+Volatilities_Resets!$S86)),IF(AB97&gt;=AD$7,IF(AB97&lt;AE$7,(((Volatilities_Resets!$S86-Volatilities_Resets!$Q86)/50)*((Calculator!AB97-Calculator!AD$7)*10000)+Volatilities_Resets!$Q86)),IF(AB97&gt;=AD$6,IF(AB97&lt;AE$6,(((Volatilities_Resets!$Q86-Volatilities_Resets!$O86)/50)*((Calculator!AB97-Calculator!AD$6)*10000)+Volatilities_Resets!$O86)),IF(AB97&gt;=AD$5,IF(AB97&lt;AE$5,(((Volatilities_Resets!$O86-Volatilities_Resets!$M86)/50)*((Calculator!AB97-Calculator!AD$5)*10000)+Volatilities_Resets!$M86)),IF(AB97&gt;=AD$4,IF(AB97&lt;AE$4,(((Volatilities_Resets!$M86-Volatilities_Resets!$K86)/50)*((Calculator!AB97-Calculator!AD$4)*10000)+Volatilities_Resets!$K86)),IF(AB97&gt;=AD$3,IF(AB97&lt;AE$3,(((Volatilities_Resets!$K86-Volatilities_Resets!$I86)/50)*((Calculator!AB97-Calculator!AD$3)*10000)+Volatilities_Resets!$I86)),IF(AB97&gt;=AD$2,IF(AB97&lt;AE$2,(((Volatilities_Resets!$I86-Volatilities_Resets!$G86)/50)*((Calculator!AB97-Calculator!AD$2)*10000)+Volatilities_Resets!$G86)),"Well, something broke...")))))))))))/10000</f>
        <v>1.0779E-2</v>
      </c>
      <c r="AE97" s="63">
        <f t="shared" ca="1" si="77"/>
        <v>25514.624087479959</v>
      </c>
      <c r="AF97" s="63">
        <f t="shared" ca="1" si="78"/>
        <v>1.0271496698114975E-3</v>
      </c>
      <c r="AG97" s="63">
        <f t="shared" ca="1" si="97"/>
        <v>2555083.2721792925</v>
      </c>
      <c r="AJ97" s="63">
        <f t="shared" ca="1" si="79"/>
        <v>123.03976864962192</v>
      </c>
      <c r="AK97" s="63">
        <f ca="1">SUM($AJ$15:AJ97)</f>
        <v>7776.9512161857929</v>
      </c>
      <c r="AM97" s="52">
        <f ca="1">EXP(-AVERAGE(AC$15:AC97)*Z97)</f>
        <v>0.74970463442730839</v>
      </c>
      <c r="AO97" s="52">
        <f t="shared" ca="1" si="80"/>
        <v>83</v>
      </c>
      <c r="AP97" s="71">
        <f t="shared" ca="1" si="81"/>
        <v>47686</v>
      </c>
      <c r="AQ97" s="71">
        <f t="shared" ca="1" si="60"/>
        <v>47717</v>
      </c>
      <c r="AR97" s="72">
        <f t="shared" ca="1" si="61"/>
        <v>31</v>
      </c>
      <c r="AS97" s="73">
        <f ca="1">SUM(AR$15:AR97)/360</f>
        <v>7.0166666666666666</v>
      </c>
      <c r="AT97" s="74">
        <f t="shared" si="62"/>
        <v>25000000</v>
      </c>
      <c r="AU97" s="59">
        <f t="shared" si="82"/>
        <v>0.04</v>
      </c>
      <c r="AV97" s="57">
        <f>Volatilities_Resets!$E86*0.01</f>
        <v>3.7957100000000001E-2</v>
      </c>
      <c r="AW97" s="61">
        <f>IF(AU97=AX$11,Volatilities_Resets!$AA86,IF(AU97&gt;=AW$11,IF(AU97&lt;AX$11,(((Volatilities_Resets!$AA86-Volatilities_Resets!$Y86)/50)*((Calculator!AU97-Calculator!AW$11)*10000)+Volatilities_Resets!$Y86)),IF(AU97&gt;=AW$10,IF(AU97&lt;AX$10,(((Volatilities_Resets!$Y86-Volatilities_Resets!$W86)/50)*((Calculator!AU97-Calculator!AW$10)*10000)+Volatilities_Resets!$W86)),IF(AU97&gt;=AW$9,IF(AU97&lt;AX$9,(((Volatilities_Resets!$W86-Volatilities_Resets!$U86)/50)*((Calculator!AU97-Calculator!AW$9)*10000)+Volatilities_Resets!$U86)),IF(AU97&gt;=AW$8,IF(AU97&lt;AX$8,(((Volatilities_Resets!$U86-Volatilities_Resets!$S86)/50)*((Calculator!AU97-Calculator!AW$8)*10000)+Volatilities_Resets!$S86)),IF(AU97&gt;=AW$7,IF(AU97&lt;AX$7,(((Volatilities_Resets!$S86-Volatilities_Resets!$Q86)/50)*((Calculator!AU97-Calculator!AW$7)*10000)+Volatilities_Resets!$Q86)),IF(AU97&gt;=AW$6,IF(AU97&lt;AX$6,(((Volatilities_Resets!$Q86-Volatilities_Resets!$O86)/50)*((Calculator!AU97-Calculator!AW$6)*10000)+Volatilities_Resets!$O86)),IF(AU97&gt;=AW$5,IF(AU97&lt;AX$5,(((Volatilities_Resets!$O86-Volatilities_Resets!$M86)/50)*((Calculator!AU97-Calculator!AW$5)*10000)+Volatilities_Resets!$M86)),IF(AU97&gt;=AW$4,IF(AU97&lt;AX$4,(((Volatilities_Resets!$M86-Volatilities_Resets!$K86)/50)*((Calculator!AU97-Calculator!AW$4)*10000)+Volatilities_Resets!$K86)),IF(AU97&gt;=AW$3,IF(AU97&lt;AX$3,(((Volatilities_Resets!$K86-Volatilities_Resets!$I86)/50)*((Calculator!AU97-Calculator!AW$3)*10000)+Volatilities_Resets!$I86)),IF(AU97&gt;=AW$2,IF(AU97&lt;AX$2,(((Volatilities_Resets!$I86-Volatilities_Resets!$G86)/50)*((Calculator!AU97-Calculator!AW$2)*10000)+Volatilities_Resets!$G86)),"Well, something broke...")))))))))))/10000</f>
        <v>1.1179000000000001E-2</v>
      </c>
      <c r="AX97" s="63">
        <f t="shared" ca="1" si="83"/>
        <v>17463.150464780716</v>
      </c>
      <c r="AY97" s="63">
        <f t="shared" ca="1" si="84"/>
        <v>7.0533215324746152E-4</v>
      </c>
      <c r="AZ97" s="63">
        <f t="shared" ca="1" si="98"/>
        <v>1579520.8392066513</v>
      </c>
      <c r="BC97" s="63">
        <f t="shared" ca="1" si="63"/>
        <v>127.56476735785357</v>
      </c>
      <c r="BD97" s="63">
        <f ca="1">SUM($BC$15:BC97)</f>
        <v>8319.8386426174038</v>
      </c>
      <c r="BF97" s="52">
        <f ca="1">EXP(-AVERAGE(AV$15:AV97)*AS97)</f>
        <v>0.74970463442730839</v>
      </c>
      <c r="BH97" s="52">
        <f t="shared" ca="1" si="85"/>
        <v>83</v>
      </c>
      <c r="BI97" s="71">
        <f t="shared" ca="1" si="86"/>
        <v>47686</v>
      </c>
      <c r="BJ97" s="71">
        <f t="shared" ca="1" si="64"/>
        <v>47717</v>
      </c>
      <c r="BK97" s="72">
        <f t="shared" ca="1" si="65"/>
        <v>31</v>
      </c>
      <c r="BL97" s="73">
        <f ca="1">SUM(BK$15:BK97)/360</f>
        <v>7.0166666666666666</v>
      </c>
      <c r="BM97" s="74">
        <f t="shared" si="66"/>
        <v>25000000</v>
      </c>
      <c r="BN97" s="59">
        <f t="shared" si="87"/>
        <v>0.05</v>
      </c>
      <c r="BO97" s="57">
        <f>Volatilities_Resets!$E86*0.01</f>
        <v>3.7957100000000001E-2</v>
      </c>
      <c r="BP97" s="61">
        <f>IF(BN97=BQ$11,Volatilities_Resets!$AA86,IF(BN97&gt;=BP$11,IF(BN97&lt;BQ$11,(((Volatilities_Resets!$AA86-Volatilities_Resets!$Y86)/50)*((Calculator!BN97-Calculator!BP$11)*10000)+Volatilities_Resets!$Y86)),IF(BN97&gt;=BP$10,IF(BN97&lt;BQ$10,(((Volatilities_Resets!$Y86-Volatilities_Resets!$W86)/50)*((Calculator!BN97-Calculator!BP$10)*10000)+Volatilities_Resets!$W86)),IF(BN97&gt;=BP$9,IF(BN97&lt;BQ$9,(((Volatilities_Resets!$W86-Volatilities_Resets!$U86)/50)*((Calculator!BN97-Calculator!BP$9)*10000)+Volatilities_Resets!$U86)),IF(BN97&gt;=BP$8,IF(BN97&lt;BQ$8,(((Volatilities_Resets!$U86-Volatilities_Resets!$S86)/50)*((Calculator!BN97-Calculator!BP$8)*10000)+Volatilities_Resets!$S86)),IF(BN97&gt;=BP$7,IF(BN97&lt;BQ$7,(((Volatilities_Resets!$S86-Volatilities_Resets!$Q86)/50)*((Calculator!BN97-Calculator!BP$7)*10000)+Volatilities_Resets!$Q86)),IF(BN97&gt;=BP$6,IF(BN97&lt;BQ$6,(((Volatilities_Resets!$Q86-Volatilities_Resets!$O86)/50)*((Calculator!BN97-Calculator!BP$6)*10000)+Volatilities_Resets!$O86)),IF(BN97&gt;=BP$5,IF(BN97&lt;BQ$5,(((Volatilities_Resets!$O86-Volatilities_Resets!$M86)/50)*((Calculator!BN97-Calculator!BP$5)*10000)+Volatilities_Resets!$M86)),IF(BN97&gt;=BP$4,IF(BN97&lt;BQ$4,(((Volatilities_Resets!$M86-Volatilities_Resets!$K86)/50)*((Calculator!BN97-Calculator!BP$4)*10000)+Volatilities_Resets!$K86)),IF(BN97&gt;=BP$3,IF(BN97&lt;BQ$3,(((Volatilities_Resets!$K86-Volatilities_Resets!$I86)/50)*((Calculator!BN97-Calculator!BP$3)*10000)+Volatilities_Resets!$I86)),IF(BN97&gt;=BP$2,IF(BN97&lt;BQ$2,(((Volatilities_Resets!$I86-Volatilities_Resets!$G86)/50)*((Calculator!BN97-Calculator!BP$2)*10000)+Volatilities_Resets!$G86)),"Well, something broke...")))))))))))/10000</f>
        <v>1.1790999999999999E-2</v>
      </c>
      <c r="BQ97" s="63">
        <f t="shared" ca="1" si="88"/>
        <v>11868.518460756362</v>
      </c>
      <c r="BR97" s="63">
        <f t="shared" ca="1" si="89"/>
        <v>4.8107816039610765E-4</v>
      </c>
      <c r="BS97" s="63">
        <f t="shared" ca="1" si="99"/>
        <v>849491.16287565953</v>
      </c>
      <c r="BV97" s="63">
        <f t="shared" ca="1" si="90"/>
        <v>118.77986545303791</v>
      </c>
      <c r="BW97" s="63">
        <f ca="1">SUM($BV$15:BV97)</f>
        <v>7960.8983444639025</v>
      </c>
      <c r="BY97" s="52">
        <f ca="1">EXP(-AVERAGE(BO$15:BO97)*BL97)</f>
        <v>0.74970463442730839</v>
      </c>
      <c r="CA97" s="52">
        <f t="shared" ca="1" si="91"/>
        <v>83</v>
      </c>
      <c r="CB97" s="71">
        <f t="shared" ca="1" si="92"/>
        <v>47686</v>
      </c>
      <c r="CC97" s="71">
        <f t="shared" ca="1" si="67"/>
        <v>47717</v>
      </c>
      <c r="CD97" s="72">
        <f t="shared" ca="1" si="68"/>
        <v>31</v>
      </c>
      <c r="CE97" s="73">
        <f ca="1">SUM(CD$15:CD97)/360</f>
        <v>7.0166666666666666</v>
      </c>
      <c r="CF97" s="74">
        <f t="shared" si="69"/>
        <v>25000000</v>
      </c>
      <c r="CG97" s="59">
        <f t="shared" si="93"/>
        <v>0.06</v>
      </c>
      <c r="CH97" s="57">
        <f>Volatilities_Resets!$E86*0.01</f>
        <v>3.7957100000000001E-2</v>
      </c>
      <c r="CI97" s="61">
        <f>IF(CG97=CJ$11,Volatilities_Resets!$AA86,IF(CG97&gt;=CI$11,IF(CG97&lt;CJ$11,(((Volatilities_Resets!$AA86-Volatilities_Resets!$Y86)/50)*((Calculator!CG97-Calculator!CI$11)*10000)+Volatilities_Resets!$Y86)),IF(CG97&gt;=CI$10,IF(CG97&lt;CJ$10,(((Volatilities_Resets!$Y86-Volatilities_Resets!$W86)/50)*((Calculator!CG97-Calculator!CI$10)*10000)+Volatilities_Resets!$W86)),IF(CG97&gt;=CI$9,IF(CG97&lt;CJ$9,(((Volatilities_Resets!$W86-Volatilities_Resets!$U86)/50)*((Calculator!CG97-Calculator!CI$9)*10000)+Volatilities_Resets!$U86)),IF(CG97&gt;=CI$8,IF(CG97&lt;CJ$8,(((Volatilities_Resets!$U86-Volatilities_Resets!$S86)/50)*((Calculator!CG97-Calculator!CI$8)*10000)+Volatilities_Resets!$S86)),IF(CG97&gt;=CI$7,IF(CG97&lt;CJ$7,(((Volatilities_Resets!$S86-Volatilities_Resets!$Q86)/50)*((Calculator!CG97-Calculator!CI$7)*10000)+Volatilities_Resets!$Q86)),IF(CG97&gt;=CI$6,IF(CG97&lt;CJ$6,(((Volatilities_Resets!$Q86-Volatilities_Resets!$O86)/50)*((Calculator!CG97-Calculator!CI$6)*10000)+Volatilities_Resets!$O86)),IF(CG97&gt;=CI$5,IF(CG97&lt;CJ$5,(((Volatilities_Resets!$O86-Volatilities_Resets!$M86)/50)*((Calculator!CG97-Calculator!CI$5)*10000)+Volatilities_Resets!$M86)),IF(CG97&gt;=CI$4,IF(CG97&lt;CJ$4,(((Volatilities_Resets!$M86-Volatilities_Resets!$K86)/50)*((Calculator!CG97-Calculator!CI$4)*10000)+Volatilities_Resets!$K86)),IF(CG97&gt;=CI$3,IF(CG97&lt;CJ$3,(((Volatilities_Resets!$K86-Volatilities_Resets!$I86)/50)*((Calculator!CG97-Calculator!CI$3)*10000)+Volatilities_Resets!$I86)),IF(CG97&gt;=CI$2,IF(CG97&lt;CJ$2,(((Volatilities_Resets!$I86-Volatilities_Resets!$G86)/50)*((Calculator!CG97-Calculator!CI$2)*10000)+Volatilities_Resets!$G86)),"Well, something broke...")))))))))))/10000</f>
        <v>1.2565E-2</v>
      </c>
      <c r="CJ97" s="63">
        <f t="shared" ca="1" si="94"/>
        <v>8177.4782391364988</v>
      </c>
      <c r="CK97" s="63">
        <f t="shared" ca="1" si="95"/>
        <v>3.3258737447809319E-4</v>
      </c>
      <c r="CL97" s="63">
        <f t="shared" ca="1" si="100"/>
        <v>451341.19651413994</v>
      </c>
      <c r="CO97" s="63">
        <f t="shared" ca="1" si="96"/>
        <v>102.86406614683114</v>
      </c>
      <c r="CP97" s="63">
        <f ca="1">SUM($CO$15:CO97)</f>
        <v>6336.9396131107733</v>
      </c>
      <c r="CR97" s="52">
        <f ca="1">EXP(-AVERAGE(CH$15:CH97)*CE97)</f>
        <v>0.74970463442730839</v>
      </c>
      <c r="CT97"/>
      <c r="CU97"/>
      <c r="CV97"/>
      <c r="CW97"/>
      <c r="CX97"/>
      <c r="CY97"/>
      <c r="CZ97"/>
      <c r="DA97"/>
      <c r="DB97"/>
      <c r="DC97"/>
      <c r="DD97"/>
      <c r="DE97"/>
      <c r="DF97"/>
      <c r="DG97"/>
      <c r="DH97"/>
      <c r="DI97"/>
      <c r="DJ97"/>
      <c r="DK97"/>
      <c r="DL97"/>
    </row>
    <row r="98" spans="2:116" ht="15.75" customHeight="1" x14ac:dyDescent="0.2">
      <c r="B98" s="52">
        <v>7</v>
      </c>
      <c r="C98" s="75">
        <f t="shared" ca="1" si="52"/>
        <v>84</v>
      </c>
      <c r="D98" s="76">
        <f t="shared" ca="1" si="70"/>
        <v>47717</v>
      </c>
      <c r="E98" s="76">
        <f t="shared" ca="1" si="53"/>
        <v>47748</v>
      </c>
      <c r="F98" s="77">
        <f t="shared" ca="1" si="54"/>
        <v>31</v>
      </c>
      <c r="G98" s="78">
        <f ca="1">SUM($F$15:F98)/360</f>
        <v>7.1027777777777779</v>
      </c>
      <c r="H98" s="79">
        <f t="shared" si="56"/>
        <v>25000000</v>
      </c>
      <c r="I98" s="80">
        <f>IF('Cap Pricer'!$E$22=DataValidation!$C$2,'Cap Pricer'!$E$23,IF('Cap Pricer'!$E$22=DataValidation!$C$3,VLOOKUP($B98,'Cap Pricer'!$C$25:$E$31,3),""))</f>
        <v>0.02</v>
      </c>
      <c r="J98" s="81">
        <f>Volatilities_Resets!$E87*0.01</f>
        <v>3.7953100000000003E-2</v>
      </c>
      <c r="K98" s="82">
        <f>IF(I98=L$11,Volatilities_Resets!$AA87,IF(I98&gt;=K$11,IF(I98&lt;L$11,(((Volatilities_Resets!$AA87-Volatilities_Resets!$Y87)/50)*((Calculator!I98-Calculator!K$11)*10000)+Volatilities_Resets!$Y87)),IF(I98&gt;=K$10,IF(I98&lt;L$10,(((Volatilities_Resets!$Y87-Volatilities_Resets!$W87)/50)*((Calculator!I98-Calculator!K$10)*10000)+Volatilities_Resets!$W87)),IF(I98&gt;=K$9,IF(I98&lt;L$9,(((Volatilities_Resets!$W87-Volatilities_Resets!$U87)/50)*((Calculator!I98-Calculator!K$9)*10000)+Volatilities_Resets!$U87)),IF(I98&gt;=K$8,IF(I98&lt;L$8,(((Volatilities_Resets!$U87-Volatilities_Resets!$S87)/50)*((Calculator!I98-Calculator!K$8)*10000)+Volatilities_Resets!$S87)),IF(I98&gt;=K$7,IF(I98&lt;L$7,(((Volatilities_Resets!$S87-Volatilities_Resets!$Q87)/50)*((Calculator!I98-Calculator!K$7)*10000)+Volatilities_Resets!$Q87)),IF(I98&gt;=K$6,IF(I98&lt;L$6,(((Volatilities_Resets!$Q87-Volatilities_Resets!$O87)/50)*((Calculator!I98-Calculator!K$6)*10000)+Volatilities_Resets!$O87)),IF(I98&gt;=K$5,IF(I98&lt;L$5,(((Volatilities_Resets!$O87-Volatilities_Resets!$M87)/50)*((Calculator!I98-Calculator!K$5)*10000)+Volatilities_Resets!$M87)),IF(I98&gt;=K$4,IF(I98&lt;L$4,(((Volatilities_Resets!$M87-Volatilities_Resets!$K87)/50)*((Calculator!I98-Calculator!K$4)*10000)+Volatilities_Resets!$K87)),IF(I98&gt;=K$3,IF(I98&lt;L$3,(((Volatilities_Resets!$K87-Volatilities_Resets!$I87)/50)*((Calculator!I98-Calculator!K$3)*10000)+Volatilities_Resets!$I87)),IF(I98&gt;=K$2,IF(I98&lt;L$2,(((Volatilities_Resets!$I87-Volatilities_Resets!$G87)/50)*((Calculator!I98-Calculator!K$2)*10000)+Volatilities_Resets!$G87)),"Well, something broke...")))))))))))/10000</f>
        <v>1.0490000000000001E-2</v>
      </c>
      <c r="L98" s="83">
        <f t="shared" ca="1" si="71"/>
        <v>35959.580537709975</v>
      </c>
      <c r="M98" s="84">
        <f t="shared" ca="1" si="72"/>
        <v>1.4439608600345167E-3</v>
      </c>
      <c r="N98" s="84">
        <f t="shared" ca="1" si="55"/>
        <v>3744168.741722241</v>
      </c>
      <c r="O98" s="84">
        <f ca="1">SUM(L87:L98)</f>
        <v>428349.12076732912</v>
      </c>
      <c r="P98" s="49"/>
      <c r="Q98" s="84">
        <f t="shared" ca="1" si="73"/>
        <v>104.19793709007962</v>
      </c>
      <c r="R98" s="84">
        <f ca="1">SUM($Q$15:Q98)</f>
        <v>6527.66818902264</v>
      </c>
      <c r="T98" s="52">
        <f ca="1">EXP(-AVERAGE(J$15:J98)*G98)</f>
        <v>0.74725485778373713</v>
      </c>
      <c r="U98" s="57"/>
      <c r="V98" s="75">
        <f t="shared" ca="1" si="74"/>
        <v>84</v>
      </c>
      <c r="W98" s="76">
        <f t="shared" ca="1" si="75"/>
        <v>47717</v>
      </c>
      <c r="X98" s="76">
        <f t="shared" ca="1" si="57"/>
        <v>47748</v>
      </c>
      <c r="Y98" s="77">
        <f t="shared" ca="1" si="58"/>
        <v>31</v>
      </c>
      <c r="Z98" s="78">
        <f ca="1">SUM(Y$15:Y98)/360</f>
        <v>7.1027777777777779</v>
      </c>
      <c r="AA98" s="79">
        <f t="shared" si="59"/>
        <v>25000000</v>
      </c>
      <c r="AB98" s="80">
        <f t="shared" si="76"/>
        <v>0.03</v>
      </c>
      <c r="AC98" s="81">
        <f>Volatilities_Resets!$E87*0.01</f>
        <v>3.7953100000000003E-2</v>
      </c>
      <c r="AD98" s="82">
        <f>IF(AB98=AE$11,Volatilities_Resets!$AA87,IF(AB98&gt;=AD$11,IF(AB98&lt;AE$11,(((Volatilities_Resets!$AA87-Volatilities_Resets!$Y87)/50)*((Calculator!AB98-Calculator!AD$11)*10000)+Volatilities_Resets!$Y87)),IF(AB98&gt;=AD$10,IF(AB98&lt;AE$10,(((Volatilities_Resets!$Y87-Volatilities_Resets!$W87)/50)*((Calculator!AB98-Calculator!AD$10)*10000)+Volatilities_Resets!$W87)),IF(AB98&gt;=AD$9,IF(AB98&lt;AE$9,(((Volatilities_Resets!$W87-Volatilities_Resets!$U87)/50)*((Calculator!AB98-Calculator!AD$9)*10000)+Volatilities_Resets!$U87)),IF(AB98&gt;=AD$8,IF(AB98&lt;AE$8,(((Volatilities_Resets!$U87-Volatilities_Resets!$S87)/50)*((Calculator!AB98-Calculator!AD$8)*10000)+Volatilities_Resets!$S87)),IF(AB98&gt;=AD$7,IF(AB98&lt;AE$7,(((Volatilities_Resets!$S87-Volatilities_Resets!$Q87)/50)*((Calculator!AB98-Calculator!AD$7)*10000)+Volatilities_Resets!$Q87)),IF(AB98&gt;=AD$6,IF(AB98&lt;AE$6,(((Volatilities_Resets!$Q87-Volatilities_Resets!$O87)/50)*((Calculator!AB98-Calculator!AD$6)*10000)+Volatilities_Resets!$O87)),IF(AB98&gt;=AD$5,IF(AB98&lt;AE$5,(((Volatilities_Resets!$O87-Volatilities_Resets!$M87)/50)*((Calculator!AB98-Calculator!AD$5)*10000)+Volatilities_Resets!$M87)),IF(AB98&gt;=AD$4,IF(AB98&lt;AE$4,(((Volatilities_Resets!$M87-Volatilities_Resets!$K87)/50)*((Calculator!AB98-Calculator!AD$4)*10000)+Volatilities_Resets!$K87)),IF(AB98&gt;=AD$3,IF(AB98&lt;AE$3,(((Volatilities_Resets!$K87-Volatilities_Resets!$I87)/50)*((Calculator!AB98-Calculator!AD$3)*10000)+Volatilities_Resets!$I87)),IF(AB98&gt;=AD$2,IF(AB98&lt;AE$2,(((Volatilities_Resets!$I87-Volatilities_Resets!$G87)/50)*((Calculator!AB98-Calculator!AD$2)*10000)+Volatilities_Resets!$G87)),"Well, something broke...")))))))))))/10000</f>
        <v>1.0662999999999999E-2</v>
      </c>
      <c r="AE98" s="84">
        <f t="shared" ca="1" si="77"/>
        <v>25344.320020294021</v>
      </c>
      <c r="AF98" s="84">
        <f t="shared" ca="1" si="78"/>
        <v>1.0203539639992607E-3</v>
      </c>
      <c r="AG98" s="84">
        <f t="shared" ca="1" si="97"/>
        <v>2580427.5921995863</v>
      </c>
      <c r="AH98" s="84">
        <f ca="1">SUM(AE87:AE98)</f>
        <v>300611.26530243212</v>
      </c>
      <c r="AI98" s="49"/>
      <c r="AJ98" s="84">
        <f t="shared" ca="1" si="79"/>
        <v>122.94515404316884</v>
      </c>
      <c r="AK98" s="84">
        <f ca="1">SUM($AJ$15:AJ98)</f>
        <v>7899.896370228962</v>
      </c>
      <c r="AM98" s="52">
        <f ca="1">EXP(-AVERAGE(AC$15:AC98)*Z98)</f>
        <v>0.74725485778373713</v>
      </c>
      <c r="AO98" s="75">
        <f t="shared" ca="1" si="80"/>
        <v>84</v>
      </c>
      <c r="AP98" s="76">
        <f t="shared" ca="1" si="81"/>
        <v>47717</v>
      </c>
      <c r="AQ98" s="76">
        <f t="shared" ca="1" si="60"/>
        <v>47748</v>
      </c>
      <c r="AR98" s="77">
        <f t="shared" ca="1" si="61"/>
        <v>31</v>
      </c>
      <c r="AS98" s="78">
        <f ca="1">SUM(AR$15:AR98)/360</f>
        <v>7.1027777777777779</v>
      </c>
      <c r="AT98" s="79">
        <f t="shared" si="62"/>
        <v>25000000</v>
      </c>
      <c r="AU98" s="80">
        <f t="shared" si="82"/>
        <v>0.04</v>
      </c>
      <c r="AV98" s="81">
        <f>Volatilities_Resets!$E87*0.01</f>
        <v>3.7953100000000003E-2</v>
      </c>
      <c r="AW98" s="82">
        <f>IF(AU98=AX$11,Volatilities_Resets!$AA87,IF(AU98&gt;=AW$11,IF(AU98&lt;AX$11,(((Volatilities_Resets!$AA87-Volatilities_Resets!$Y87)/50)*((Calculator!AU98-Calculator!AW$11)*10000)+Volatilities_Resets!$Y87)),IF(AU98&gt;=AW$10,IF(AU98&lt;AX$10,(((Volatilities_Resets!$Y87-Volatilities_Resets!$W87)/50)*((Calculator!AU98-Calculator!AW$10)*10000)+Volatilities_Resets!$W87)),IF(AU98&gt;=AW$9,IF(AU98&lt;AX$9,(((Volatilities_Resets!$W87-Volatilities_Resets!$U87)/50)*((Calculator!AU98-Calculator!AW$9)*10000)+Volatilities_Resets!$U87)),IF(AU98&gt;=AW$8,IF(AU98&lt;AX$8,(((Volatilities_Resets!$U87-Volatilities_Resets!$S87)/50)*((Calculator!AU98-Calculator!AW$8)*10000)+Volatilities_Resets!$S87)),IF(AU98&gt;=AW$7,IF(AU98&lt;AX$7,(((Volatilities_Resets!$S87-Volatilities_Resets!$Q87)/50)*((Calculator!AU98-Calculator!AW$7)*10000)+Volatilities_Resets!$Q87)),IF(AU98&gt;=AW$6,IF(AU98&lt;AX$6,(((Volatilities_Resets!$Q87-Volatilities_Resets!$O87)/50)*((Calculator!AU98-Calculator!AW$6)*10000)+Volatilities_Resets!$O87)),IF(AU98&gt;=AW$5,IF(AU98&lt;AX$5,(((Volatilities_Resets!$O87-Volatilities_Resets!$M87)/50)*((Calculator!AU98-Calculator!AW$5)*10000)+Volatilities_Resets!$M87)),IF(AU98&gt;=AW$4,IF(AU98&lt;AX$4,(((Volatilities_Resets!$M87-Volatilities_Resets!$K87)/50)*((Calculator!AU98-Calculator!AW$4)*10000)+Volatilities_Resets!$K87)),IF(AU98&gt;=AW$3,IF(AU98&lt;AX$3,(((Volatilities_Resets!$K87-Volatilities_Resets!$I87)/50)*((Calculator!AU98-Calculator!AW$3)*10000)+Volatilities_Resets!$I87)),IF(AU98&gt;=AW$2,IF(AU98&lt;AX$2,(((Volatilities_Resets!$I87-Volatilities_Resets!$G87)/50)*((Calculator!AU98-Calculator!AW$2)*10000)+Volatilities_Resets!$G87)),"Well, something broke...")))))))))))/10000</f>
        <v>1.1045000000000001E-2</v>
      </c>
      <c r="AX98" s="84">
        <f t="shared" ca="1" si="83"/>
        <v>17290.383916432642</v>
      </c>
      <c r="AY98" s="84">
        <f t="shared" ca="1" si="84"/>
        <v>6.9844049634207837E-4</v>
      </c>
      <c r="AZ98" s="84">
        <f t="shared" ca="1" si="98"/>
        <v>1596811.2231230841</v>
      </c>
      <c r="BA98" s="84">
        <f ca="1">SUM(AX87:AX98)</f>
        <v>204354.8919098195</v>
      </c>
      <c r="BB98" s="49"/>
      <c r="BC98" s="84">
        <f t="shared" ca="1" si="63"/>
        <v>127.50296961247342</v>
      </c>
      <c r="BD98" s="84">
        <f ca="1">SUM($BC$15:BC98)</f>
        <v>8447.3416122298768</v>
      </c>
      <c r="BF98" s="52">
        <f ca="1">EXP(-AVERAGE(AV$15:AV98)*AS98)</f>
        <v>0.74725485778373713</v>
      </c>
      <c r="BH98" s="75">
        <f t="shared" ca="1" si="85"/>
        <v>84</v>
      </c>
      <c r="BI98" s="76">
        <f t="shared" ca="1" si="86"/>
        <v>47717</v>
      </c>
      <c r="BJ98" s="76">
        <f t="shared" ca="1" si="64"/>
        <v>47748</v>
      </c>
      <c r="BK98" s="77">
        <f t="shared" ca="1" si="65"/>
        <v>31</v>
      </c>
      <c r="BL98" s="78">
        <f ca="1">SUM(BK$15:BK98)/360</f>
        <v>7.1027777777777779</v>
      </c>
      <c r="BM98" s="79">
        <f t="shared" si="66"/>
        <v>25000000</v>
      </c>
      <c r="BN98" s="80">
        <f t="shared" si="87"/>
        <v>0.05</v>
      </c>
      <c r="BO98" s="81">
        <f>Volatilities_Resets!$E87*0.01</f>
        <v>3.7953100000000003E-2</v>
      </c>
      <c r="BP98" s="82">
        <f>IF(BN98=BQ$11,Volatilities_Resets!$AA87,IF(BN98&gt;=BP$11,IF(BN98&lt;BQ$11,(((Volatilities_Resets!$AA87-Volatilities_Resets!$Y87)/50)*((Calculator!BN98-Calculator!BP$11)*10000)+Volatilities_Resets!$Y87)),IF(BN98&gt;=BP$10,IF(BN98&lt;BQ$10,(((Volatilities_Resets!$Y87-Volatilities_Resets!$W87)/50)*((Calculator!BN98-Calculator!BP$10)*10000)+Volatilities_Resets!$W87)),IF(BN98&gt;=BP$9,IF(BN98&lt;BQ$9,(((Volatilities_Resets!$W87-Volatilities_Resets!$U87)/50)*((Calculator!BN98-Calculator!BP$9)*10000)+Volatilities_Resets!$U87)),IF(BN98&gt;=BP$8,IF(BN98&lt;BQ$8,(((Volatilities_Resets!$U87-Volatilities_Resets!$S87)/50)*((Calculator!BN98-Calculator!BP$8)*10000)+Volatilities_Resets!$S87)),IF(BN98&gt;=BP$7,IF(BN98&lt;BQ$7,(((Volatilities_Resets!$S87-Volatilities_Resets!$Q87)/50)*((Calculator!BN98-Calculator!BP$7)*10000)+Volatilities_Resets!$Q87)),IF(BN98&gt;=BP$6,IF(BN98&lt;BQ$6,(((Volatilities_Resets!$Q87-Volatilities_Resets!$O87)/50)*((Calculator!BN98-Calculator!BP$6)*10000)+Volatilities_Resets!$O87)),IF(BN98&gt;=BP$5,IF(BN98&lt;BQ$5,(((Volatilities_Resets!$O87-Volatilities_Resets!$M87)/50)*((Calculator!BN98-Calculator!BP$5)*10000)+Volatilities_Resets!$M87)),IF(BN98&gt;=BP$4,IF(BN98&lt;BQ$4,(((Volatilities_Resets!$M87-Volatilities_Resets!$K87)/50)*((Calculator!BN98-Calculator!BP$4)*10000)+Volatilities_Resets!$K87)),IF(BN98&gt;=BP$3,IF(BN98&lt;BQ$3,(((Volatilities_Resets!$K87-Volatilities_Resets!$I87)/50)*((Calculator!BN98-Calculator!BP$3)*10000)+Volatilities_Resets!$I87)),IF(BN98&gt;=BP$2,IF(BN98&lt;BQ$2,(((Volatilities_Resets!$I87-Volatilities_Resets!$G87)/50)*((Calculator!BN98-Calculator!BP$2)*10000)+Volatilities_Resets!$G87)),"Well, something broke...")))))))))))/10000</f>
        <v>1.1625E-2</v>
      </c>
      <c r="BQ98" s="84">
        <f t="shared" ca="1" si="88"/>
        <v>11677.83685503738</v>
      </c>
      <c r="BR98" s="84">
        <f t="shared" ca="1" si="89"/>
        <v>4.7346094422182967E-4</v>
      </c>
      <c r="BS98" s="84">
        <f t="shared" ca="1" si="99"/>
        <v>861168.9997306969</v>
      </c>
      <c r="BT98" s="84">
        <f ca="1">SUM(BQ87:BQ98)</f>
        <v>137994.9599728988</v>
      </c>
      <c r="BU98" s="49"/>
      <c r="BV98" s="84">
        <f t="shared" ca="1" si="90"/>
        <v>118.57944518328931</v>
      </c>
      <c r="BW98" s="84">
        <f ca="1">SUM($BV$15:BV98)</f>
        <v>8079.4777896471915</v>
      </c>
      <c r="BY98" s="52">
        <f ca="1">EXP(-AVERAGE(BO$15:BO98)*BL98)</f>
        <v>0.74725485778373713</v>
      </c>
      <c r="CA98" s="75">
        <f t="shared" ca="1" si="91"/>
        <v>84</v>
      </c>
      <c r="CB98" s="76">
        <f t="shared" ca="1" si="92"/>
        <v>47717</v>
      </c>
      <c r="CC98" s="76">
        <f t="shared" ca="1" si="67"/>
        <v>47748</v>
      </c>
      <c r="CD98" s="77">
        <f t="shared" ca="1" si="68"/>
        <v>31</v>
      </c>
      <c r="CE98" s="78">
        <f ca="1">SUM(CD$15:CD98)/360</f>
        <v>7.1027777777777779</v>
      </c>
      <c r="CF98" s="79">
        <f t="shared" si="69"/>
        <v>25000000</v>
      </c>
      <c r="CG98" s="80">
        <f t="shared" si="93"/>
        <v>0.06</v>
      </c>
      <c r="CH98" s="81">
        <f>Volatilities_Resets!$E87*0.01</f>
        <v>3.7953100000000003E-2</v>
      </c>
      <c r="CI98" s="82">
        <f>IF(CG98=CJ$11,Volatilities_Resets!$AA87,IF(CG98&gt;=CI$11,IF(CG98&lt;CJ$11,(((Volatilities_Resets!$AA87-Volatilities_Resets!$Y87)/50)*((Calculator!CG98-Calculator!CI$11)*10000)+Volatilities_Resets!$Y87)),IF(CG98&gt;=CI$10,IF(CG98&lt;CJ$10,(((Volatilities_Resets!$Y87-Volatilities_Resets!$W87)/50)*((Calculator!CG98-Calculator!CI$10)*10000)+Volatilities_Resets!$W87)),IF(CG98&gt;=CI$9,IF(CG98&lt;CJ$9,(((Volatilities_Resets!$W87-Volatilities_Resets!$U87)/50)*((Calculator!CG98-Calculator!CI$9)*10000)+Volatilities_Resets!$U87)),IF(CG98&gt;=CI$8,IF(CG98&lt;CJ$8,(((Volatilities_Resets!$U87-Volatilities_Resets!$S87)/50)*((Calculator!CG98-Calculator!CI$8)*10000)+Volatilities_Resets!$S87)),IF(CG98&gt;=CI$7,IF(CG98&lt;CJ$7,(((Volatilities_Resets!$S87-Volatilities_Resets!$Q87)/50)*((Calculator!CG98-Calculator!CI$7)*10000)+Volatilities_Resets!$Q87)),IF(CG98&gt;=CI$6,IF(CG98&lt;CJ$6,(((Volatilities_Resets!$Q87-Volatilities_Resets!$O87)/50)*((Calculator!CG98-Calculator!CI$6)*10000)+Volatilities_Resets!$O87)),IF(CG98&gt;=CI$5,IF(CG98&lt;CJ$5,(((Volatilities_Resets!$O87-Volatilities_Resets!$M87)/50)*((Calculator!CG98-Calculator!CI$5)*10000)+Volatilities_Resets!$M87)),IF(CG98&gt;=CI$4,IF(CG98&lt;CJ$4,(((Volatilities_Resets!$M87-Volatilities_Resets!$K87)/50)*((Calculator!CG98-Calculator!CI$4)*10000)+Volatilities_Resets!$K87)),IF(CG98&gt;=CI$3,IF(CG98&lt;CJ$3,(((Volatilities_Resets!$K87-Volatilities_Resets!$I87)/50)*((Calculator!CG98-Calculator!CI$3)*10000)+Volatilities_Resets!$I87)),IF(CG98&gt;=CI$2,IF(CG98&lt;CJ$2,(((Volatilities_Resets!$I87-Volatilities_Resets!$G87)/50)*((Calculator!CG98-Calculator!CI$2)*10000)+Volatilities_Resets!$G87)),"Well, something broke...")))))))))))/10000</f>
        <v>1.2359E-2</v>
      </c>
      <c r="CJ98" s="84">
        <f t="shared" ca="1" si="94"/>
        <v>7971.5309210643263</v>
      </c>
      <c r="CK98" s="84">
        <f t="shared" ca="1" si="95"/>
        <v>3.243395427642122E-4</v>
      </c>
      <c r="CL98" s="84">
        <f t="shared" ca="1" si="100"/>
        <v>459312.72743520426</v>
      </c>
      <c r="CM98" s="84">
        <f ca="1">SUM(CJ87:CJ98)</f>
        <v>94593.006359013903</v>
      </c>
      <c r="CN98" s="49"/>
      <c r="CO98" s="84">
        <f t="shared" ca="1" si="96"/>
        <v>102.34226780925678</v>
      </c>
      <c r="CP98" s="84">
        <f ca="1">SUM($CO$15:CO98)</f>
        <v>6439.2818809200298</v>
      </c>
      <c r="CR98" s="52">
        <f ca="1">EXP(-AVERAGE(CH$15:CH98)*CE98)</f>
        <v>0.74725485778373713</v>
      </c>
      <c r="CT98"/>
      <c r="CU98"/>
      <c r="CV98"/>
      <c r="CW98"/>
      <c r="CX98"/>
      <c r="CY98"/>
      <c r="CZ98"/>
      <c r="DA98"/>
      <c r="DB98"/>
      <c r="DC98"/>
      <c r="DD98"/>
      <c r="DE98"/>
      <c r="DF98"/>
      <c r="DG98"/>
      <c r="DH98"/>
      <c r="DI98"/>
      <c r="DJ98"/>
      <c r="DK98"/>
      <c r="DL98"/>
    </row>
    <row r="99" spans="2:116" ht="15.75" customHeight="1" x14ac:dyDescent="0.2">
      <c r="CT99"/>
      <c r="CU99"/>
      <c r="CV99"/>
      <c r="CW99"/>
      <c r="CX99"/>
      <c r="CY99"/>
      <c r="CZ99"/>
      <c r="DA99"/>
      <c r="DB99"/>
      <c r="DC99"/>
      <c r="DD99"/>
      <c r="DE99"/>
      <c r="DF99"/>
      <c r="DG99"/>
      <c r="DH99"/>
      <c r="DI99"/>
      <c r="DJ99"/>
      <c r="DK99"/>
      <c r="DL99"/>
    </row>
  </sheetData>
  <sheetProtection algorithmName="SHA-512" hashValue="U+z6MWXcGYyLaPeGCLrtT74Ubf9qRR4iaoDx9fyofRI2hoEXNxRJByFnnd827e7eg/fVvfuo7tEymkre6ZBGEQ==" saltValue="MWCBjubM+Ye7ehbv7xESiA==" spinCount="100000" sheet="1" objects="1" scenarios="1"/>
  <conditionalFormatting sqref="A5:B6">
    <cfRule type="expression" dxfId="0" priority="36">
      <formula>$B$4=$T$3</formula>
    </cfRule>
  </conditionalFormatting>
  <dataValidations disablePrompts="1" count="1">
    <dataValidation type="list" allowBlank="1" showInputMessage="1" showErrorMessage="1" sqref="B4" xr:uid="{00000000-0002-0000-0100-000000000000}">
      <formula1>$T$2:$T$3</formula1>
    </dataValidation>
  </dataValidations>
  <pageMargins left="0.7" right="0.7" top="0.75" bottom="0.75" header="0.3" footer="0.3"/>
  <pageSetup scale="4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W50"/>
  <sheetViews>
    <sheetView showGridLines="0" zoomScaleNormal="100" workbookViewId="0">
      <selection activeCell="F11" sqref="F11"/>
    </sheetView>
  </sheetViews>
  <sheetFormatPr defaultColWidth="9.140625" defaultRowHeight="15" x14ac:dyDescent="0.25"/>
  <cols>
    <col min="1" max="1" width="15.28515625" style="21" customWidth="1"/>
    <col min="2" max="2" width="20.5703125" style="21" customWidth="1"/>
    <col min="3" max="3" width="9.140625" style="21" customWidth="1"/>
    <col min="4" max="4" width="15.140625" style="21" bestFit="1" customWidth="1"/>
    <col min="5" max="5" width="9.140625" style="21" customWidth="1"/>
    <col min="6" max="6" width="13.140625" style="21" customWidth="1"/>
    <col min="7" max="7" width="13.7109375" style="21" bestFit="1" customWidth="1"/>
    <col min="8" max="8" width="18" style="21" customWidth="1"/>
    <col min="9" max="9" width="16.5703125" style="21" customWidth="1"/>
    <col min="10" max="10" width="14.140625" style="21" customWidth="1"/>
    <col min="11" max="11" width="10.5703125" style="21" customWidth="1"/>
    <col min="12" max="12" width="16.5703125" style="21" customWidth="1"/>
    <col min="13" max="16" width="11" style="21" customWidth="1"/>
    <col min="17" max="17" width="10.5703125" style="21" customWidth="1"/>
    <col min="18" max="18" width="12" style="21" customWidth="1"/>
    <col min="19" max="19" width="11" style="21" customWidth="1"/>
    <col min="20" max="22" width="11.140625" style="21" customWidth="1"/>
    <col min="23" max="16384" width="9.140625" style="21"/>
  </cols>
  <sheetData>
    <row r="1" spans="1:21" x14ac:dyDescent="0.25">
      <c r="A1" s="20"/>
      <c r="B1" s="20" t="s">
        <v>66</v>
      </c>
      <c r="C1" s="20" t="s">
        <v>47</v>
      </c>
      <c r="D1" s="20" t="s">
        <v>73</v>
      </c>
      <c r="E1" s="20" t="s">
        <v>74</v>
      </c>
      <c r="F1" s="20" t="s">
        <v>75</v>
      </c>
      <c r="L1"/>
      <c r="M1"/>
      <c r="N1"/>
      <c r="O1"/>
      <c r="P1"/>
      <c r="Q1"/>
    </row>
    <row r="2" spans="1:21" x14ac:dyDescent="0.25">
      <c r="A2" s="157"/>
      <c r="B2" s="22" t="s">
        <v>67</v>
      </c>
      <c r="C2" s="2" t="s">
        <v>50</v>
      </c>
      <c r="D2" s="2" t="s">
        <v>93</v>
      </c>
      <c r="E2" s="2" t="s">
        <v>32</v>
      </c>
      <c r="F2" s="2" t="s">
        <v>70</v>
      </c>
      <c r="H2" s="13" t="s">
        <v>37</v>
      </c>
      <c r="I2" s="13" t="s">
        <v>38</v>
      </c>
      <c r="J2" s="13" t="s">
        <v>53</v>
      </c>
      <c r="K2" s="2"/>
      <c r="L2"/>
      <c r="M2"/>
      <c r="N2"/>
      <c r="O2"/>
      <c r="P2"/>
      <c r="Q2"/>
    </row>
    <row r="3" spans="1:21" x14ac:dyDescent="0.25">
      <c r="A3" s="157"/>
      <c r="B3" s="22" t="s">
        <v>62</v>
      </c>
      <c r="C3" s="2" t="s">
        <v>51</v>
      </c>
      <c r="D3" s="2" t="s">
        <v>93</v>
      </c>
      <c r="E3" s="2" t="s">
        <v>33</v>
      </c>
      <c r="F3" s="2" t="s">
        <v>71</v>
      </c>
      <c r="G3" s="158"/>
      <c r="H3" s="3">
        <v>0.02</v>
      </c>
      <c r="I3" s="24">
        <v>2</v>
      </c>
      <c r="J3" s="8">
        <v>25000</v>
      </c>
      <c r="K3" s="42"/>
      <c r="L3"/>
      <c r="M3"/>
      <c r="N3"/>
      <c r="O3"/>
      <c r="P3"/>
      <c r="Q3"/>
    </row>
    <row r="4" spans="1:21" x14ac:dyDescent="0.25">
      <c r="B4" s="21" t="s">
        <v>88</v>
      </c>
      <c r="D4" s="2"/>
      <c r="E4" s="2"/>
      <c r="G4" s="158"/>
      <c r="H4" s="3">
        <v>2.5000000000000001E-2</v>
      </c>
      <c r="I4" s="24">
        <v>1</v>
      </c>
      <c r="J4" s="8">
        <v>25000</v>
      </c>
      <c r="K4" s="43"/>
      <c r="L4"/>
      <c r="M4"/>
      <c r="N4"/>
      <c r="O4"/>
      <c r="P4"/>
      <c r="Q4"/>
    </row>
    <row r="5" spans="1:21" x14ac:dyDescent="0.25">
      <c r="B5" s="22" t="s">
        <v>68</v>
      </c>
      <c r="C5" s="2"/>
      <c r="D5" s="2"/>
      <c r="E5" s="2"/>
      <c r="G5" s="158"/>
      <c r="H5" s="3">
        <v>0.03</v>
      </c>
      <c r="I5" s="24">
        <v>4</v>
      </c>
      <c r="J5" s="8">
        <v>25000</v>
      </c>
      <c r="K5" s="43"/>
      <c r="L5"/>
      <c r="M5"/>
      <c r="N5"/>
      <c r="O5"/>
      <c r="P5"/>
      <c r="Q5"/>
    </row>
    <row r="6" spans="1:21" x14ac:dyDescent="0.25">
      <c r="B6" s="22" t="s">
        <v>69</v>
      </c>
      <c r="C6" s="2"/>
      <c r="D6" s="2"/>
      <c r="E6" s="2"/>
      <c r="G6" s="158"/>
      <c r="H6" s="3">
        <v>3.5000000000000003E-2</v>
      </c>
      <c r="I6" s="24">
        <v>4</v>
      </c>
      <c r="J6" s="8">
        <v>25000</v>
      </c>
      <c r="K6" s="43"/>
      <c r="L6" s="159"/>
      <c r="M6" s="160"/>
      <c r="N6" s="161"/>
      <c r="O6" s="161"/>
      <c r="P6" s="161"/>
      <c r="Q6" s="161"/>
    </row>
    <row r="7" spans="1:21" x14ac:dyDescent="0.25">
      <c r="C7" s="2"/>
      <c r="D7" s="2"/>
      <c r="E7" s="2"/>
      <c r="G7" s="158"/>
      <c r="H7" s="3">
        <v>0.04</v>
      </c>
      <c r="I7" s="24">
        <v>2</v>
      </c>
      <c r="J7" s="8">
        <v>25000</v>
      </c>
      <c r="K7" s="43"/>
      <c r="L7" s="156"/>
      <c r="M7" s="156"/>
      <c r="N7" s="162"/>
      <c r="O7" s="162"/>
      <c r="P7" s="162"/>
      <c r="Q7" s="162"/>
    </row>
    <row r="8" spans="1:21" x14ac:dyDescent="0.25">
      <c r="B8" s="21" t="s">
        <v>63</v>
      </c>
      <c r="C8" s="2"/>
      <c r="E8" s="2"/>
      <c r="G8" s="158"/>
      <c r="H8" s="3">
        <v>4.4999999999999998E-2</v>
      </c>
      <c r="I8" s="24">
        <v>2</v>
      </c>
      <c r="J8" s="8">
        <v>25000</v>
      </c>
      <c r="K8" s="43"/>
      <c r="L8" s="1"/>
      <c r="M8" s="1"/>
    </row>
    <row r="9" spans="1:21" x14ac:dyDescent="0.25">
      <c r="B9" s="21" t="s">
        <v>113</v>
      </c>
      <c r="G9" s="158"/>
      <c r="H9" s="3">
        <v>0.05</v>
      </c>
      <c r="I9" s="24">
        <v>8</v>
      </c>
      <c r="J9" s="8">
        <v>25000</v>
      </c>
      <c r="K9" s="43"/>
      <c r="L9"/>
      <c r="M9"/>
      <c r="N9"/>
      <c r="O9" s="156"/>
      <c r="P9" s="1"/>
      <c r="Q9" s="1"/>
    </row>
    <row r="10" spans="1:21" x14ac:dyDescent="0.25">
      <c r="B10" s="22" t="s">
        <v>89</v>
      </c>
      <c r="H10" s="1" t="s">
        <v>115</v>
      </c>
      <c r="J10" s="3">
        <v>1.5E-3</v>
      </c>
      <c r="K10" s="2"/>
      <c r="L10"/>
      <c r="M10"/>
      <c r="N10"/>
      <c r="O10" s="156"/>
      <c r="P10" s="1"/>
      <c r="Q10" s="1"/>
      <c r="R10" s="41"/>
    </row>
    <row r="11" spans="1:21" x14ac:dyDescent="0.25">
      <c r="B11" s="22" t="s">
        <v>90</v>
      </c>
      <c r="H11" s="1"/>
      <c r="I11" s="1"/>
      <c r="J11" s="1"/>
      <c r="K11" s="2"/>
      <c r="L11"/>
      <c r="M11"/>
      <c r="N11"/>
      <c r="O11" s="156"/>
      <c r="P11" s="1"/>
      <c r="Q11" s="1"/>
    </row>
    <row r="12" spans="1:21" x14ac:dyDescent="0.25">
      <c r="H12" s="4"/>
      <c r="I12" s="4"/>
      <c r="J12" s="4"/>
      <c r="K12" s="2"/>
      <c r="L12" s="156"/>
      <c r="M12" s="163"/>
      <c r="N12" s="163"/>
      <c r="O12" s="156"/>
      <c r="P12" s="1"/>
      <c r="Q12" s="1"/>
    </row>
    <row r="13" spans="1:21" x14ac:dyDescent="0.25">
      <c r="H13" s="1" t="s">
        <v>45</v>
      </c>
      <c r="I13" s="18">
        <f ca="1">DATE(YEAR(TODAY()),MONTH(TODAY()),MIN(28,DAY(TODAY())))</f>
        <v>45191</v>
      </c>
      <c r="J13" s="1"/>
      <c r="K13" s="1"/>
      <c r="L13" s="1" t="s">
        <v>57</v>
      </c>
      <c r="M13" s="1"/>
      <c r="N13" s="1"/>
      <c r="O13" s="1"/>
      <c r="P13" s="1"/>
      <c r="Q13" s="1"/>
    </row>
    <row r="14" spans="1:21" x14ac:dyDescent="0.25">
      <c r="H14" s="1"/>
      <c r="I14" s="1"/>
      <c r="J14" s="1"/>
      <c r="K14" s="1"/>
      <c r="L14" s="14" t="s">
        <v>47</v>
      </c>
      <c r="M14" s="25">
        <v>12</v>
      </c>
      <c r="N14" s="25">
        <v>24</v>
      </c>
      <c r="O14" s="25">
        <v>36</v>
      </c>
      <c r="P14" s="25">
        <v>48</v>
      </c>
      <c r="Q14" s="1"/>
      <c r="R14" s="19"/>
      <c r="S14" s="19"/>
      <c r="T14" s="19"/>
      <c r="U14" s="19"/>
    </row>
    <row r="15" spans="1:21" x14ac:dyDescent="0.25">
      <c r="H15" s="6" t="s">
        <v>29</v>
      </c>
      <c r="I15" s="7">
        <f ca="1">SUM(INDIRECT("Calculator!"&amp;ADDRESS(MATCH($I$13,Calculator!$D$1:$D$98,0),COLUMN(Calculator!$L$15))&amp;":"&amp;ADDRESS(MATCH(EDATE($I$13,'Cap Pricer'!$E$19),Calculator!$E$1:$E$98,0),COLUMN(Calculator!$L$15))))</f>
        <v>1969673.0985566922</v>
      </c>
      <c r="J15" s="5"/>
      <c r="K15" s="1"/>
      <c r="L15" s="16">
        <f>'Cap Pricer'!$G$19</f>
        <v>0.03</v>
      </c>
      <c r="M15" s="9">
        <f ca="1">Calculator!AA3</f>
        <v>583821.84965826035</v>
      </c>
      <c r="N15" s="9">
        <f ca="1">Calculator!AA4</f>
        <v>1014598.7109938547</v>
      </c>
      <c r="O15" s="9">
        <f ca="1">Calculator!AA5</f>
        <v>1359598.1332587341</v>
      </c>
      <c r="P15" s="9">
        <f ca="1">Calculator!AA6</f>
        <v>1663043.9000129655</v>
      </c>
      <c r="Q15" s="1"/>
      <c r="R15" s="19"/>
      <c r="S15" s="19"/>
      <c r="T15" s="19"/>
      <c r="U15" s="19"/>
    </row>
    <row r="16" spans="1:21" x14ac:dyDescent="0.25">
      <c r="H16" s="6" t="s">
        <v>28</v>
      </c>
      <c r="I16" s="7">
        <f ca="1">IF('Cap Pricer'!E22=C2,MAX(SUM(INDIRECT("Calculator!"&amp;ADDRESS(MATCH($I$13,Calculator!$D$1:$D$98,0),COLUMN(Calculator!$Q$15))&amp;":"&amp;ADDRESS(MATCH(EDATE($I$13,'Cap Pricer'!$E$19),Calculator!$E$1:$E$98,0),COLUMN(Calculator!$Q$15))))*IF('Cap Pricer'!$E$23&gt;=$H$9,$I$9,IF('Cap Pricer'!$E$23&gt;=$H$8,$I$8,IF('Cap Pricer'!$E$23&gt;=$H$7,$I$7,IF('Cap Pricer'!$E$23&gt;=$H$6,$I$6,IF('Cap Pricer'!$E$23&gt;=$H$5,$I$5,IF('Cap Pricer'!$E$23&gt;=$H$4,$I$4,IF('Cap Pricer'!$E$23&gt;=$H$3,$I$3,1))))))),IF('Cap Pricer'!$E$23&gt;=$H$9,$J$9,IF('Cap Pricer'!$E$23&gt;=$H$8,$J$8,IF('Cap Pricer'!$E$23&gt;=$H$7,$J$7,IF('Cap Pricer'!$E$23&gt;=$H$6,$J$6,IF('Cap Pricer'!$E$23&gt;=$H$5,$J$5,IF('Cap Pricer'!$E$23&gt;=$H$4,$J$4,IF('Cap Pricer'!$E$23&gt;=$H$3,$J$3,1)))))))),IF('Cap Pricer'!E22=C3,I21,J3))</f>
        <v>25000</v>
      </c>
      <c r="J16" s="19">
        <f ca="1">IF(AND(notional&gt;50000000,I16&gt;($J$10*notional)),$J$10*notional,I16)</f>
        <v>25000</v>
      </c>
      <c r="L16" s="12">
        <f>'Cap Pricer'!$G$20</f>
        <v>0.04</v>
      </c>
      <c r="M16" s="9">
        <f ca="1">Calculator!AT3</f>
        <v>342969.6182982942</v>
      </c>
      <c r="N16" s="9">
        <f ca="1">Calculator!AT4</f>
        <v>587214.51152538636</v>
      </c>
      <c r="O16" s="9">
        <f ca="1">Calculator!AT5</f>
        <v>790528.71788322495</v>
      </c>
      <c r="P16" s="9">
        <f ca="1">Calculator!AT6</f>
        <v>983001.54723653907</v>
      </c>
      <c r="Q16" s="1"/>
      <c r="R16" s="19"/>
      <c r="S16" s="19"/>
      <c r="T16" s="19"/>
      <c r="U16" s="19"/>
    </row>
    <row r="17" spans="8:23" x14ac:dyDescent="0.25">
      <c r="H17" s="164"/>
      <c r="I17" s="165"/>
      <c r="L17" s="12">
        <f>'Cap Pricer'!$G$21</f>
        <v>0.05</v>
      </c>
      <c r="M17" s="9">
        <f ca="1">Calculator!BM3</f>
        <v>119197.28288196282</v>
      </c>
      <c r="N17" s="9">
        <f ca="1">Calculator!BM4</f>
        <v>226578.42784263566</v>
      </c>
      <c r="O17" s="9">
        <f ca="1">Calculator!BM5</f>
        <v>333774.66015691543</v>
      </c>
      <c r="P17" s="9">
        <f ca="1">Calculator!BM6</f>
        <v>453050.62650119874</v>
      </c>
      <c r="Q17" s="1"/>
      <c r="R17" s="19"/>
      <c r="S17" s="19"/>
      <c r="T17" s="19"/>
      <c r="U17" s="19"/>
    </row>
    <row r="18" spans="8:23" x14ac:dyDescent="0.25">
      <c r="H18" s="1"/>
      <c r="I18" s="1"/>
      <c r="L18" s="12">
        <f>'Cap Pricer'!$G$22</f>
        <v>0.06</v>
      </c>
      <c r="M18" s="9">
        <f ca="1">Calculator!CF3</f>
        <v>8629.8195732445965</v>
      </c>
      <c r="N18" s="9">
        <f ca="1">Calculator!CF4</f>
        <v>46253.691979892166</v>
      </c>
      <c r="O18" s="9">
        <f ca="1">Calculator!CF5</f>
        <v>107722.54388505433</v>
      </c>
      <c r="P18" s="9">
        <f ca="1">Calculator!CF6</f>
        <v>182496.60676368716</v>
      </c>
      <c r="Q18" s="1"/>
    </row>
    <row r="19" spans="8:23" x14ac:dyDescent="0.25">
      <c r="H19" s="1"/>
      <c r="I19" s="1"/>
      <c r="J19" s="1"/>
      <c r="K19" s="1"/>
      <c r="L19" s="1"/>
      <c r="M19" s="1"/>
      <c r="N19" s="1"/>
      <c r="O19" s="1"/>
      <c r="P19" s="1"/>
      <c r="Q19" s="1"/>
    </row>
    <row r="20" spans="8:23" x14ac:dyDescent="0.25">
      <c r="H20" s="10" t="s">
        <v>51</v>
      </c>
      <c r="I20" s="26" t="e">
        <f>IF('Cap Pricer'!E19&lt;=12,'Cap Pricer'!E25,IF(AND('Cap Pricer'!E19&gt;12,'Cap Pricer'!E19&lt;=24),AVERAGE('Cap Pricer'!E25:E26),IF(AND('Cap Pricer'!E19&gt;24,'Cap Pricer'!E19&lt;=36),AVERAGE('Cap Pricer'!E25:E27),IF(AND('Cap Pricer'!E19&gt;36,'Cap Pricer'!E19&lt;=48),AVERAGE('Cap Pricer'!E25:E28),IF(AND('Cap Pricer'!E19&gt;48,'Cap Pricer'!E19&lt;=60),AVERAGE('Cap Pricer'!E25:E29),IF(AND('Cap Pricer'!E19&gt;60,'Cap Pricer'!E19&lt;=72),AVERAGE('Cap Pricer'!E25:E30),IF(AND('Cap Pricer'!E19&gt;72,'Cap Pricer'!E19&lt;=84),AVERAGE('Cap Pricer'!E25:E31),'Cap Pricer'!E25)))))))</f>
        <v>#DIV/0!</v>
      </c>
      <c r="J20" s="1"/>
      <c r="K20" s="1"/>
      <c r="L20" s="1" t="s">
        <v>58</v>
      </c>
      <c r="M20" s="1"/>
      <c r="N20" s="1"/>
      <c r="O20" s="1"/>
      <c r="P20" s="1"/>
      <c r="Q20" s="1"/>
      <c r="R20" s="1" t="s">
        <v>76</v>
      </c>
      <c r="S20" s="1"/>
      <c r="T20" s="1"/>
      <c r="U20" s="1"/>
      <c r="V20" s="1"/>
    </row>
    <row r="21" spans="8:23" x14ac:dyDescent="0.25">
      <c r="H21" s="11" t="s">
        <v>61</v>
      </c>
      <c r="I21" s="39" t="e">
        <f ca="1">MAX(8000,SUM(INDIRECT("Calculator!"&amp;ADDRESS(MATCH($I$13,Calculator!$D$1:$D$98,0),COLUMN(Calculator!$Q$15))&amp;":"&amp;ADDRESS(MATCH(EDATE($I$13,'Cap Pricer'!$E$19),Calculator!$E$1:$E$98,0),COLUMN(Calculator!$Q$15))))*IF($I$20&gt;=$H$9,$I$9,IF($I$20&gt;=$H$8,$I$8,IF($I$20&gt;=$H$7,$I$7,IF($I$20&gt;=$H$5,$I$5,IF($I$20&gt;=$H$4,$I$4,IF($I$20&gt;=$H$3,$I$3,1)))))),IF($I$20&gt;=$H$9,$J$9,IF($I$20&gt;=$H$8,$J$8,IF($I$20&gt;=$H$7,$J$7,IF($I$20&gt;=$H$5,$J$5,IF($I$20&gt;=$H$4,$J$4,IF($I$20&gt;=$J$3,$I$3,1)))))))</f>
        <v>#DIV/0!</v>
      </c>
      <c r="J21" s="19" t="e">
        <f ca="1">IF(AND(notional&gt;50000000,I21&gt;($J$10*notional)),$J$10*notional,I21)</f>
        <v>#DIV/0!</v>
      </c>
      <c r="K21" s="1"/>
      <c r="L21" s="14" t="s">
        <v>47</v>
      </c>
      <c r="M21" s="25">
        <v>12</v>
      </c>
      <c r="N21" s="25">
        <v>24</v>
      </c>
      <c r="O21" s="25">
        <v>36</v>
      </c>
      <c r="P21" s="25">
        <v>48</v>
      </c>
      <c r="Q21" s="1"/>
      <c r="R21" s="14" t="s">
        <v>47</v>
      </c>
      <c r="S21" s="25">
        <v>12</v>
      </c>
      <c r="T21" s="25">
        <v>24</v>
      </c>
      <c r="U21" s="25">
        <v>36</v>
      </c>
      <c r="V21" s="25">
        <v>48</v>
      </c>
    </row>
    <row r="22" spans="8:23" x14ac:dyDescent="0.25">
      <c r="H22" s="1"/>
      <c r="I22" s="1"/>
      <c r="J22" s="1"/>
      <c r="K22" s="1"/>
      <c r="L22" s="16">
        <f>'Cap Pricer'!$G$19</f>
        <v>0.03</v>
      </c>
      <c r="M22" s="17">
        <f ca="1">MAX(SUM(INDIRECT("Calculator!"&amp;ADDRESS(MATCH($I$13,Calculator!$W$1:$W$98,0),COLUMN(Calculator!$AJ$15))&amp;":"&amp;ADDRESS(MATCH(EDATE($I$13,M$21),Calculator!$X$1:$X$98,0),COLUMN(Calculator!$AJ$15))))*IF($L22&gt;=$H$9,$I$9,IF($L22&gt;=$H$8,$I$8,IF($L22&gt;=$H$7,$I$7,IF($L22&gt;=$H$6,$I$6,IF($L22&gt;=$H$5,$I$5,IF($L22&gt;=$H$4,$I$4,IF($L22&gt;=$H$3,$I$3,1))))))),IF($L22&gt;=$H$9,$J$9,IF($L22&gt;=$H$8,$J$8,IF($L22&gt;=$H$7,$J$7,IF($L22&gt;=$H$6,$J$6,IF($L22&gt;=$H$5,$J$5,IF($L22&gt;=$H$4,$J$4,IF($L22&gt;=$H$3,$J$3,1))))))))</f>
        <v>25000</v>
      </c>
      <c r="N22" s="17">
        <f ca="1">MAX(SUM(INDIRECT("Calculator!"&amp;ADDRESS(MATCH($I$13,Calculator!$W$1:$W$98,0),COLUMN(Calculator!$AJ$15))&amp;":"&amp;ADDRESS(MATCH(EDATE($I$13,N$21),Calculator!$X$1:$X$98,0),COLUMN(Calculator!$AJ$15))))*IF($L22&gt;=$H$9,$I$9,IF($L22&gt;=$H$8,$I$8,IF($L22&gt;=$H$7,$I$7,IF($L22&gt;=$H$6,$I$6,IF($L22&gt;=$H$5,$I$5,IF($L22&gt;=$H$4,$I$4,IF($L22&gt;=$H$3,$I$3,1))))))),IF($L22&gt;=$H$9,$J$9,IF($L22&gt;=$H$8,$J$8,IF($L22&gt;=$H$7,$J$7,IF($L22&gt;=$H$6,$J$6,IF($L22&gt;=$H$5,$J$5,IF($L22&gt;=$H$4,$J$4,IF($L22&gt;=$H$3,$J$3,1))))))))</f>
        <v>25000</v>
      </c>
      <c r="O22" s="17">
        <f ca="1">MAX(SUM(INDIRECT("Calculator!"&amp;ADDRESS(MATCH($I$13,Calculator!$W$1:$W$98,0),COLUMN(Calculator!$AJ$15))&amp;":"&amp;ADDRESS(MATCH(EDATE($I$13,O$21),Calculator!$X$1:$X$98,0),COLUMN(Calculator!$AJ$15))))*IF($L22&gt;=$H$9,$I$9,IF($L22&gt;=$H$8,$I$8,IF($L22&gt;=$H$7,$I$7,IF($L22&gt;=$H$6,$I$6,IF($L22&gt;=$H$5,$I$5,IF($L22&gt;=$H$4,$I$4,IF($L22&gt;=$H$3,$I$3,1))))))),IF($L22&gt;=$H$9,$J$9,IF($L22&gt;=$H$8,$J$8,IF($L22&gt;=$H$7,$J$7,IF($L22&gt;=$H$6,$J$6,IF($L22&gt;=$H$5,$J$5,IF($L22&gt;=$H$4,$J$4,IF($L22&gt;=$H$3,$J$3,1))))))))</f>
        <v>25000</v>
      </c>
      <c r="P22" s="17">
        <f ca="1">MAX(SUM(INDIRECT("Calculator!"&amp;ADDRESS(MATCH($I$13,Calculator!$W$1:$W$98,0),COLUMN(Calculator!$AJ$15))&amp;":"&amp;ADDRESS(MATCH(EDATE($I$13,P$21),Calculator!$X$1:$X$98,0),COLUMN(Calculator!$AJ$15))))*IF($L22&gt;=$H$9,$I$9,IF($L22&gt;=$H$8,$I$8,IF($L22&gt;=$H$7,$I$7,IF($L22&gt;=$H$6,$I$6,IF($L22&gt;=$H$5,$I$5,IF($L22&gt;=$H$4,$I$4,IF($L22&gt;=$H$3,$I$3,1))))))),IF($L22&gt;=$H$9,$J$9,IF($L22&gt;=$H$8,$J$8,IF($L22&gt;=$H$7,$J$7,IF($L22&gt;=$H$6,$J$6,IF($L22&gt;=$H$5,$J$5,IF($L22&gt;=$H$4,$J$4,IF($L22&gt;=$H$3,$J$3,1))))))))</f>
        <v>25000</v>
      </c>
      <c r="Q22" s="1"/>
      <c r="R22" s="16">
        <f>'Cap Pricer'!$G$19</f>
        <v>0.03</v>
      </c>
      <c r="S22" s="38">
        <f t="shared" ref="S22:V25" ca="1" si="0">IF(AND(notional&gt;50000000,M22&gt;($J$10*notional)),$J$10*notional,M22)</f>
        <v>25000</v>
      </c>
      <c r="T22" s="38">
        <f t="shared" ca="1" si="0"/>
        <v>25000</v>
      </c>
      <c r="U22" s="38">
        <f t="shared" ca="1" si="0"/>
        <v>25000</v>
      </c>
      <c r="V22" s="38">
        <f t="shared" ca="1" si="0"/>
        <v>25000</v>
      </c>
    </row>
    <row r="23" spans="8:23" x14ac:dyDescent="0.25">
      <c r="H23" s="1"/>
      <c r="I23" s="24"/>
      <c r="J23" s="8"/>
      <c r="K23" s="1"/>
      <c r="L23" s="12">
        <f>'Cap Pricer'!$G$20</f>
        <v>0.04</v>
      </c>
      <c r="M23" s="15">
        <f ca="1">MAX(SUM(INDIRECT("Calculator!"&amp;ADDRESS(MATCH($I$13,Calculator!$W$1:$W$98,0),COLUMN(Calculator!$BC$15))&amp;":"&amp;ADDRESS(MATCH(EDATE($I$13,M$21),Calculator!$X$1:$X$98,0),COLUMN(Calculator!$BC$15))))*IF($L23&gt;=$H$9,$I$9,IF($L23&gt;=$H$8,$I$8,IF($L23&gt;=$H$7,$I$7,IF($L23&gt;=$H$6,$I$6,IF($L23&gt;=$H$5,$I$5,IF($L23&gt;=$H$4,$I$4,IF($L23&gt;=$H$3,$I$3,1))))))),IF($L23&gt;=$H$9,$J$9,IF($L23&gt;=$H$8,$J$8,IF($L23&gt;=$H$7,$J$7,IF($L23&gt;=$H$6,$J$6,IF($L23&gt;=$H$5,$J$5,IF($L23&gt;=$H$4,$J$4,IF($L23&gt;=$H$3,$J$3,1))))))))</f>
        <v>25000</v>
      </c>
      <c r="N23" s="15">
        <f ca="1">MAX(SUM(INDIRECT("Calculator!"&amp;ADDRESS(MATCH($I$13,Calculator!$W$1:$W$98,0),COLUMN(Calculator!$BC$15))&amp;":"&amp;ADDRESS(MATCH(EDATE($I$13,N$21),Calculator!$X$1:$X$98,0),COLUMN(Calculator!$BC$15))))*IF($L23&gt;=$H$9,$I$9,IF($L23&gt;=$H$8,$I$8,IF($L23&gt;=$H$7,$I$7,IF($L23&gt;=$H$6,$I$6,IF($L23&gt;=$H$5,$I$5,IF($L23&gt;=$H$4,$I$4,IF($L23&gt;=$H$3,$I$3,1))))))),IF($L23&gt;=$H$9,$J$9,IF($L23&gt;=$H$8,$J$8,IF($L23&gt;=$H$7,$J$7,IF($L23&gt;=$H$6,$J$6,IF($L23&gt;=$H$5,$J$5,IF($L23&gt;=$H$4,$J$4,IF($L23&gt;=$H$3,$J$3,1))))))))</f>
        <v>25000</v>
      </c>
      <c r="O23" s="15">
        <f ca="1">MAX(SUM(INDIRECT("Calculator!"&amp;ADDRESS(MATCH($I$13,Calculator!$W$1:$W$98,0),COLUMN(Calculator!$BC$15))&amp;":"&amp;ADDRESS(MATCH(EDATE($I$13,O$21),Calculator!$X$1:$X$98,0),COLUMN(Calculator!$BC$15))))*IF($L23&gt;=$H$9,$I$9,IF($L23&gt;=$H$8,$I$8,IF($L23&gt;=$H$7,$I$7,IF($L23&gt;=$H$6,$I$6,IF($L23&gt;=$H$5,$I$5,IF($L23&gt;=$H$4,$I$4,IF($L23&gt;=$H$3,$I$3,1))))))),IF($L23&gt;=$H$9,$J$9,IF($L23&gt;=$H$8,$J$8,IF($L23&gt;=$H$7,$J$7,IF($L23&gt;=$H$6,$J$6,IF($L23&gt;=$H$5,$J$5,IF($L23&gt;=$H$4,$J$4,IF($L23&gt;=$H$3,$J$3,1))))))))</f>
        <v>25000</v>
      </c>
      <c r="P23" s="15">
        <f ca="1">MAX(SUM(INDIRECT("Calculator!"&amp;ADDRESS(MATCH($I$13,Calculator!$W$1:$W$98,0),COLUMN(Calculator!$BC$15))&amp;":"&amp;ADDRESS(MATCH(EDATE($I$13,P$21),Calculator!$X$1:$X$98,0),COLUMN(Calculator!$BC$15))))*IF($L23&gt;=$H$9,$I$9,IF($L23&gt;=$H$8,$I$8,IF($L23&gt;=$H$7,$I$7,IF($L23&gt;=$H$6,$I$6,IF($L23&gt;=$H$5,$I$5,IF($L23&gt;=$H$4,$I$4,IF($L23&gt;=$H$3,$I$3,1))))))),IF($L23&gt;=$H$9,$J$9,IF($L23&gt;=$H$8,$J$8,IF($L23&gt;=$H$7,$J$7,IF($L23&gt;=$H$6,$J$6,IF($L23&gt;=$H$5,$J$5,IF($L23&gt;=$H$4,$J$4,IF($L23&gt;=$H$3,$J$3,1))))))))</f>
        <v>25000</v>
      </c>
      <c r="Q23" s="1"/>
      <c r="R23" s="12">
        <f>'Cap Pricer'!$G$20</f>
        <v>0.04</v>
      </c>
      <c r="S23" s="38">
        <f t="shared" ca="1" si="0"/>
        <v>25000</v>
      </c>
      <c r="T23" s="38">
        <f t="shared" ca="1" si="0"/>
        <v>25000</v>
      </c>
      <c r="U23" s="38">
        <f t="shared" ca="1" si="0"/>
        <v>25000</v>
      </c>
      <c r="V23" s="38">
        <f t="shared" ca="1" si="0"/>
        <v>25000</v>
      </c>
    </row>
    <row r="24" spans="8:23" x14ac:dyDescent="0.25">
      <c r="H24" s="1"/>
      <c r="I24" s="24"/>
      <c r="J24" s="8"/>
      <c r="K24" s="1"/>
      <c r="L24" s="12">
        <f>'Cap Pricer'!$G$21</f>
        <v>0.05</v>
      </c>
      <c r="M24" s="15">
        <f ca="1">MAX(SUM(INDIRECT("Calculator!"&amp;ADDRESS(MATCH($I$13,Calculator!$W$1:$W$98,0),COLUMN(Calculator!$BV$15))&amp;":"&amp;ADDRESS(MATCH(EDATE($I$13,M$21),Calculator!$X$1:$X$98,0),COLUMN(Calculator!$BV$15))))*IF($L24&gt;=$H$9,$I$9,IF($L24&gt;=$H$8,$I$8,IF($L24&gt;=$H$7,$I$7,IF($L24&gt;=$H$6,$I$6,IF($L24&gt;=$H$5,$I$5,IF($L24&gt;=$H$4,$I$4,IF($L24&gt;=$H$3,$I$3,1))))))),IF($L24&gt;=$H$9,$J$9,IF($L24&gt;=$H$8,$J$8,IF($L24&gt;=$H$7,$J$7,IF($L24&gt;=$H$6,$J$6,IF($L24&gt;=$H$5,$J$5,IF($L24&gt;=$H$4,$J$4,IF($L24&gt;=$H$3,$J$3,1))))))))</f>
        <v>25000</v>
      </c>
      <c r="N24" s="15">
        <f ca="1">MAX(SUM(INDIRECT("Calculator!"&amp;ADDRESS(MATCH($I$13,Calculator!$W$1:$W$98,0),COLUMN(Calculator!$BV$15))&amp;":"&amp;ADDRESS(MATCH(EDATE($I$13,N$21),Calculator!$X$1:$X$98,0),COLUMN(Calculator!$BV$15))))*IF($L24&gt;=$H$9,$I$9,IF($L24&gt;=$H$8,$I$8,IF($L24&gt;=$H$7,$I$7,IF($L24&gt;=$H$6,$I$6,IF($L24&gt;=$H$5,$I$5,IF($L24&gt;=$H$4,$I$4,IF($L24&gt;=$H$3,$I$3,1))))))),IF($L24&gt;=$H$9,$J$9,IF($L24&gt;=$H$8,$J$8,IF($L24&gt;=$H$7,$J$7,IF($L24&gt;=$H$6,$J$6,IF($L24&gt;=$H$5,$J$5,IF($L24&gt;=$H$4,$J$4,IF($L24&gt;=$H$3,$J$3,1))))))))</f>
        <v>25000</v>
      </c>
      <c r="O24" s="15">
        <f ca="1">MAX(SUM(INDIRECT("Calculator!"&amp;ADDRESS(MATCH($I$13,Calculator!$W$1:$W$98,0),COLUMN(Calculator!$BV$15))&amp;":"&amp;ADDRESS(MATCH(EDATE($I$13,O$21),Calculator!$X$1:$X$98,0),COLUMN(Calculator!$BV$15))))*IF($L24&gt;=$H$9,$I$9,IF($L24&gt;=$H$8,$I$8,IF($L24&gt;=$H$7,$I$7,IF($L24&gt;=$H$6,$I$6,IF($L24&gt;=$H$5,$I$5,IF($L24&gt;=$H$4,$I$4,IF($L24&gt;=$H$3,$I$3,1))))))),IF($L24&gt;=$H$9,$J$9,IF($L24&gt;=$H$8,$J$8,IF($L24&gt;=$H$7,$J$7,IF($L24&gt;=$H$6,$J$6,IF($L24&gt;=$H$5,$J$5,IF($L24&gt;=$H$4,$J$4,IF($L24&gt;=$H$3,$J$3,1))))))))</f>
        <v>25000</v>
      </c>
      <c r="P24" s="15">
        <f ca="1">MAX(SUM(INDIRECT("Calculator!"&amp;ADDRESS(MATCH($I$13,Calculator!$W$1:$W$98,0),COLUMN(Calculator!$BV$15))&amp;":"&amp;ADDRESS(MATCH(EDATE($I$13,P$21),Calculator!$X$1:$X$98,0),COLUMN(Calculator!$BV$15))))*IF($L24&gt;=$H$9,$I$9,IF($L24&gt;=$H$8,$I$8,IF($L24&gt;=$H$7,$I$7,IF($L24&gt;=$H$6,$I$6,IF($L24&gt;=$H$5,$I$5,IF($L24&gt;=$H$4,$I$4,IF($L24&gt;=$H$3,$I$3,1))))))),IF($L24&gt;=$H$9,$J$9,IF($L24&gt;=$H$8,$J$8,IF($L24&gt;=$H$7,$J$7,IF($L24&gt;=$H$6,$J$6,IF($L24&gt;=$H$5,$J$5,IF($L24&gt;=$H$4,$J$4,IF($L24&gt;=$H$3,$J$3,1))))))))</f>
        <v>31728.719452193734</v>
      </c>
      <c r="Q24" s="1"/>
      <c r="R24" s="12">
        <f>'Cap Pricer'!$G$21</f>
        <v>0.05</v>
      </c>
      <c r="S24" s="38">
        <f t="shared" ca="1" si="0"/>
        <v>25000</v>
      </c>
      <c r="T24" s="38">
        <f t="shared" ca="1" si="0"/>
        <v>25000</v>
      </c>
      <c r="U24" s="38">
        <f t="shared" ca="1" si="0"/>
        <v>25000</v>
      </c>
      <c r="V24" s="38">
        <f t="shared" ca="1" si="0"/>
        <v>31728.719452193734</v>
      </c>
    </row>
    <row r="25" spans="8:23" x14ac:dyDescent="0.25">
      <c r="H25" s="1"/>
      <c r="I25" s="24"/>
      <c r="J25" s="8"/>
      <c r="K25" s="1"/>
      <c r="L25" s="12">
        <f>'Cap Pricer'!$G$22</f>
        <v>0.06</v>
      </c>
      <c r="M25" s="15">
        <f ca="1">MAX(SUM(INDIRECT("Calculator!"&amp;ADDRESS(MATCH($I$13,Calculator!$W$1:$W$98,0),COLUMN(Calculator!$CO$15))&amp;":"&amp;ADDRESS(MATCH(EDATE($I$13,M$21),Calculator!$X$1:$X$98,0),COLUMN(Calculator!$CO$15))))*IF($L25&gt;=$H$9,$I$9,IF($L25&gt;=$H$8,$I$8,IF($L25&gt;=$H$7,$I$7,IF($L25&gt;=$H$6,$I$6,IF($L25&gt;=$H$5,$I$5,IF($L25&gt;=$H$4,$I$4,IF($L25&gt;=$H$3,$I$3,1))))))),IF($L25&gt;=$H$9,$J$9,IF($L25&gt;=$H$8,$J$8,IF($L25&gt;=$H$7,$J$7,IF($L25&gt;=$H$6,$J$6,IF($L25&gt;=$H$5,$J$5,IF($L25&gt;=$H$4,$J$4,IF($L25&gt;=$H$3,$J$3,1))))))))</f>
        <v>25000</v>
      </c>
      <c r="N25" s="15">
        <f ca="1">MAX(SUM(INDIRECT("Calculator!"&amp;ADDRESS(MATCH($I$13,Calculator!$W$1:$W$98,0),COLUMN(Calculator!$CO$15))&amp;":"&amp;ADDRESS(MATCH(EDATE($I$13,N$21),Calculator!$X$1:$X$98,0),COLUMN(Calculator!$CO$15))))*IF($L25&gt;=$H$9,$I$9,IF($L25&gt;=$H$8,$I$8,IF($L25&gt;=$H$7,$I$7,IF($L25&gt;=$H$6,$I$6,IF($L25&gt;=$H$5,$I$5,IF($L25&gt;=$H$4,$I$4,IF($L25&gt;=$H$3,$I$3,1))))))),IF($L25&gt;=$H$9,$J$9,IF($L25&gt;=$H$8,$J$8,IF($L25&gt;=$H$7,$J$7,IF($L25&gt;=$H$6,$J$6,IF($L25&gt;=$H$5,$J$5,IF($L25&gt;=$H$4,$J$4,IF($L25&gt;=$H$3,$J$3,1))))))))</f>
        <v>25000</v>
      </c>
      <c r="O25" s="15">
        <f ca="1">MAX(SUM(INDIRECT("Calculator!"&amp;ADDRESS(MATCH($I$13,Calculator!$W$1:$W$98,0),COLUMN(Calculator!$CO$15))&amp;":"&amp;ADDRESS(MATCH(EDATE($I$13,O$21),Calculator!$X$1:$X$98,0),COLUMN(Calculator!$CO$15))))*IF($L25&gt;=$H$9,$I$9,IF($L25&gt;=$H$8,$I$8,IF($L25&gt;=$H$7,$I$7,IF($L25&gt;=$H$6,$I$6,IF($L25&gt;=$H$5,$I$5,IF($L25&gt;=$H$4,$I$4,IF($L25&gt;=$H$3,$I$3,1))))))),IF($L25&gt;=$H$9,$J$9,IF($L25&gt;=$H$8,$J$8,IF($L25&gt;=$H$7,$J$7,IF($L25&gt;=$H$6,$J$6,IF($L25&gt;=$H$5,$J$5,IF($L25&gt;=$H$4,$J$4,IF($L25&gt;=$H$3,$J$3,1))))))))</f>
        <v>25000</v>
      </c>
      <c r="P25" s="15">
        <f ca="1">MAX(SUM(INDIRECT("Calculator!"&amp;ADDRESS(MATCH($I$13,Calculator!$W$1:$W$98,0),COLUMN(Calculator!$CO$15))&amp;":"&amp;ADDRESS(MATCH(EDATE($I$13,P$21),Calculator!$X$1:$X$98,0),COLUMN(Calculator!$CO$15))))*IF($L25&gt;=$H$9,$I$9,IF($L25&gt;=$H$8,$I$8,IF($L25&gt;=$H$7,$I$7,IF($L25&gt;=$H$6,$I$6,IF($L25&gt;=$H$5,$I$5,IF($L25&gt;=$H$4,$I$4,IF($L25&gt;=$H$3,$I$3,1))))))),IF($L25&gt;=$H$9,$J$9,IF($L25&gt;=$H$8,$J$8,IF($L25&gt;=$H$7,$J$7,IF($L25&gt;=$H$6,$J$6,IF($L25&gt;=$H$5,$J$5,IF($L25&gt;=$H$4,$J$4,IF($L25&gt;=$H$3,$J$3,1))))))))</f>
        <v>25000</v>
      </c>
      <c r="Q25" s="1"/>
      <c r="R25" s="12">
        <f>'Cap Pricer'!$G$22</f>
        <v>0.06</v>
      </c>
      <c r="S25" s="38">
        <f t="shared" ca="1" si="0"/>
        <v>25000</v>
      </c>
      <c r="T25" s="38">
        <f t="shared" ca="1" si="0"/>
        <v>25000</v>
      </c>
      <c r="U25" s="38">
        <f t="shared" ca="1" si="0"/>
        <v>25000</v>
      </c>
      <c r="V25" s="38">
        <f t="shared" ca="1" si="0"/>
        <v>25000</v>
      </c>
    </row>
    <row r="26" spans="8:23" x14ac:dyDescent="0.25">
      <c r="H26" s="1"/>
      <c r="I26" s="24"/>
      <c r="J26" s="8"/>
      <c r="K26" s="1"/>
      <c r="L26" s="1"/>
      <c r="M26" s="1"/>
      <c r="N26" s="1"/>
      <c r="O26" s="1"/>
      <c r="P26" s="1"/>
      <c r="Q26" s="1"/>
      <c r="R26" s="23"/>
    </row>
    <row r="27" spans="8:23" x14ac:dyDescent="0.25">
      <c r="H27" s="1"/>
      <c r="I27" s="24"/>
      <c r="J27" s="8"/>
      <c r="K27" s="1"/>
      <c r="L27"/>
      <c r="M27"/>
      <c r="N27"/>
      <c r="O27"/>
      <c r="P27"/>
      <c r="Q27"/>
      <c r="R27"/>
      <c r="S27"/>
      <c r="T27"/>
      <c r="U27"/>
      <c r="V27"/>
      <c r="W27"/>
    </row>
    <row r="28" spans="8:23" x14ac:dyDescent="0.25">
      <c r="H28" s="1"/>
      <c r="I28" s="24"/>
      <c r="J28" s="8"/>
      <c r="K28" s="1"/>
      <c r="L28"/>
      <c r="M28"/>
      <c r="N28"/>
      <c r="O28"/>
      <c r="P28"/>
      <c r="Q28"/>
      <c r="R28"/>
      <c r="S28"/>
      <c r="T28"/>
      <c r="U28"/>
      <c r="V28"/>
      <c r="W28"/>
    </row>
    <row r="29" spans="8:23" x14ac:dyDescent="0.25">
      <c r="H29" s="1"/>
      <c r="I29" s="24"/>
      <c r="J29" s="8"/>
      <c r="K29" s="1"/>
      <c r="L29"/>
      <c r="M29"/>
      <c r="N29"/>
      <c r="O29"/>
      <c r="P29"/>
      <c r="Q29"/>
      <c r="R29"/>
      <c r="S29"/>
      <c r="T29"/>
      <c r="U29"/>
      <c r="V29"/>
      <c r="W29"/>
    </row>
    <row r="30" spans="8:23" x14ac:dyDescent="0.25">
      <c r="H30" s="1"/>
      <c r="I30" s="1"/>
      <c r="J30" s="1"/>
      <c r="K30" s="1"/>
      <c r="L30"/>
      <c r="M30"/>
      <c r="N30"/>
      <c r="O30"/>
      <c r="P30"/>
      <c r="Q30"/>
      <c r="R30"/>
      <c r="S30"/>
      <c r="T30"/>
      <c r="U30"/>
      <c r="V30"/>
      <c r="W30"/>
    </row>
    <row r="31" spans="8:23" x14ac:dyDescent="0.25">
      <c r="H31" s="1"/>
      <c r="I31" s="1"/>
      <c r="J31" s="1"/>
      <c r="K31" s="1"/>
      <c r="L31"/>
      <c r="M31"/>
      <c r="N31"/>
      <c r="O31"/>
      <c r="P31"/>
      <c r="Q31"/>
      <c r="R31"/>
      <c r="S31"/>
      <c r="T31"/>
      <c r="U31"/>
      <c r="V31"/>
      <c r="W31"/>
    </row>
    <row r="32" spans="8:23" x14ac:dyDescent="0.25">
      <c r="H32" s="1"/>
      <c r="I32" s="1"/>
      <c r="J32" s="1"/>
      <c r="K32" s="1"/>
      <c r="L32"/>
      <c r="M32"/>
      <c r="N32"/>
      <c r="O32"/>
      <c r="P32"/>
      <c r="Q32"/>
      <c r="R32"/>
      <c r="S32"/>
      <c r="T32"/>
      <c r="U32"/>
      <c r="V32"/>
      <c r="W32"/>
    </row>
    <row r="33" spans="8:17" x14ac:dyDescent="0.25">
      <c r="H33" s="1"/>
      <c r="I33" s="1"/>
      <c r="J33" s="1"/>
      <c r="K33" s="1"/>
      <c r="L33" s="1"/>
      <c r="M33" s="1"/>
      <c r="N33" s="1"/>
      <c r="O33" s="1"/>
      <c r="P33" s="1"/>
      <c r="Q33" s="1"/>
    </row>
    <row r="34" spans="8:17" x14ac:dyDescent="0.25">
      <c r="H34" s="1"/>
      <c r="I34" s="1"/>
      <c r="J34" s="1"/>
      <c r="K34" s="1"/>
      <c r="Q34" s="1"/>
    </row>
    <row r="35" spans="8:17" x14ac:dyDescent="0.25">
      <c r="H35" s="1"/>
      <c r="I35" s="1"/>
      <c r="J35" s="1"/>
      <c r="K35" s="1"/>
      <c r="Q35" s="1"/>
    </row>
    <row r="36" spans="8:17" x14ac:dyDescent="0.25">
      <c r="H36" s="1"/>
      <c r="I36" s="1"/>
      <c r="J36" s="1"/>
      <c r="K36" s="1"/>
      <c r="Q36" s="1"/>
    </row>
    <row r="37" spans="8:17" x14ac:dyDescent="0.25">
      <c r="H37" s="1"/>
      <c r="I37" s="1"/>
      <c r="J37" s="1"/>
      <c r="K37" s="1"/>
      <c r="Q37" s="1"/>
    </row>
    <row r="38" spans="8:17" x14ac:dyDescent="0.25">
      <c r="H38" s="1"/>
      <c r="I38" s="1"/>
      <c r="J38" s="1"/>
      <c r="K38" s="1"/>
      <c r="Q38" s="1"/>
    </row>
    <row r="39" spans="8:17" x14ac:dyDescent="0.25">
      <c r="H39" s="1"/>
      <c r="I39" s="1"/>
      <c r="J39" s="1"/>
      <c r="K39" s="1"/>
      <c r="Q39" s="1"/>
    </row>
    <row r="40" spans="8:17" x14ac:dyDescent="0.25">
      <c r="H40" s="1"/>
      <c r="I40" s="1"/>
      <c r="J40" s="1"/>
      <c r="K40" s="1"/>
    </row>
    <row r="41" spans="8:17" x14ac:dyDescent="0.25">
      <c r="H41" s="1"/>
      <c r="I41" s="1"/>
      <c r="J41" s="1"/>
      <c r="K41" s="1"/>
    </row>
    <row r="42" spans="8:17" x14ac:dyDescent="0.25">
      <c r="H42" s="1"/>
      <c r="I42" s="1"/>
      <c r="J42" s="1"/>
      <c r="K42" s="1"/>
    </row>
    <row r="43" spans="8:17" x14ac:dyDescent="0.25">
      <c r="H43" s="1"/>
      <c r="I43" s="1"/>
      <c r="J43" s="1"/>
      <c r="K43" s="1"/>
    </row>
    <row r="44" spans="8:17" x14ac:dyDescent="0.25">
      <c r="H44" s="1"/>
      <c r="I44" s="1"/>
      <c r="J44" s="1"/>
      <c r="K44" s="1"/>
    </row>
    <row r="45" spans="8:17" x14ac:dyDescent="0.25">
      <c r="H45" s="1"/>
      <c r="I45" s="1"/>
      <c r="J45" s="1"/>
      <c r="K45" s="1"/>
    </row>
    <row r="46" spans="8:17" x14ac:dyDescent="0.25">
      <c r="H46" s="1"/>
      <c r="I46" s="1"/>
      <c r="J46" s="1"/>
      <c r="K46" s="1"/>
    </row>
    <row r="47" spans="8:17" x14ac:dyDescent="0.25">
      <c r="H47" s="1"/>
      <c r="I47" s="1"/>
      <c r="J47" s="1"/>
      <c r="K47" s="1"/>
    </row>
    <row r="48" spans="8:17" x14ac:dyDescent="0.25">
      <c r="H48" s="1"/>
      <c r="I48" s="1"/>
      <c r="J48" s="1"/>
      <c r="K48" s="1"/>
    </row>
    <row r="49" spans="8:11" x14ac:dyDescent="0.25">
      <c r="H49" s="1"/>
      <c r="I49" s="1"/>
      <c r="J49" s="1"/>
      <c r="K49" s="1"/>
    </row>
    <row r="50" spans="8:11" x14ac:dyDescent="0.25">
      <c r="H50" s="1"/>
      <c r="I50" s="1"/>
      <c r="J50" s="1"/>
      <c r="K50" s="1"/>
    </row>
  </sheetData>
  <sheetProtection algorithmName="SHA-512" hashValue="4Ck0/Pvg70+Cl/wc1tXRThpcBfKmn7mkbPOj0usd/owxsRsZtesh2V7xjtBaugMfQ2pF+RqRCie9RjwByKmIOg==" saltValue="1hfwETTBwE9Kw7Tn5u5nVw=="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137"/>
  <sheetViews>
    <sheetView showGridLines="0" zoomScale="107" zoomScaleNormal="90" workbookViewId="0">
      <selection activeCell="A2" sqref="A2"/>
    </sheetView>
  </sheetViews>
  <sheetFormatPr defaultColWidth="9.140625" defaultRowHeight="15" x14ac:dyDescent="0.25"/>
  <cols>
    <col min="1" max="1" width="12.28515625" style="30" bestFit="1" customWidth="1"/>
    <col min="2" max="2" width="9.28515625" style="30" bestFit="1" customWidth="1"/>
    <col min="3" max="3" width="9.140625" style="30"/>
    <col min="4" max="4" width="8.5703125" style="35" customWidth="1"/>
    <col min="5" max="5" width="11.7109375" style="30" bestFit="1" customWidth="1"/>
    <col min="6" max="10" width="11.7109375" style="30" customWidth="1"/>
    <col min="11" max="11" width="11.5703125" style="37" customWidth="1"/>
    <col min="12" max="12" width="16.7109375" style="30" bestFit="1" customWidth="1"/>
    <col min="13" max="14" width="15.28515625" style="30" customWidth="1"/>
    <col min="15" max="15" width="11.7109375" style="30" customWidth="1"/>
    <col min="16" max="16" width="14.28515625" style="30" bestFit="1" customWidth="1"/>
    <col min="17" max="18" width="9.140625" style="30"/>
    <col min="19" max="19" width="11.28515625" style="30" bestFit="1" customWidth="1"/>
    <col min="20" max="20" width="12.42578125" style="30" customWidth="1"/>
    <col min="21" max="16384" width="9.140625" style="30"/>
  </cols>
  <sheetData>
    <row r="1" spans="1:20" x14ac:dyDescent="0.25">
      <c r="A1" s="28" t="s">
        <v>78</v>
      </c>
      <c r="B1" s="29" t="s">
        <v>11</v>
      </c>
      <c r="D1" s="31" t="s">
        <v>24</v>
      </c>
      <c r="F1" s="31" t="s">
        <v>79</v>
      </c>
      <c r="G1" s="31" t="s">
        <v>80</v>
      </c>
      <c r="H1" s="31" t="s">
        <v>81</v>
      </c>
      <c r="I1" s="31" t="s">
        <v>82</v>
      </c>
      <c r="K1" s="168" t="s">
        <v>83</v>
      </c>
      <c r="L1" s="174" t="s">
        <v>114</v>
      </c>
      <c r="M1" s="32" t="s">
        <v>64</v>
      </c>
      <c r="N1" s="32" t="s">
        <v>65</v>
      </c>
      <c r="P1" s="31" t="s">
        <v>84</v>
      </c>
      <c r="S1" s="175" t="s">
        <v>43</v>
      </c>
      <c r="T1" s="175" t="s">
        <v>116</v>
      </c>
    </row>
    <row r="2" spans="1:20" x14ac:dyDescent="0.25">
      <c r="A2" s="33">
        <f>Volatilities_Resets!C4</f>
        <v>45194</v>
      </c>
      <c r="B2" s="130">
        <f>Volatilities_Resets!AC4/100</f>
        <v>1.1435999999999999</v>
      </c>
      <c r="C2" s="36"/>
      <c r="D2" s="130">
        <f>Volatilities_Resets!E4/100</f>
        <v>5.3175100000000003E-2</v>
      </c>
      <c r="E2" s="34"/>
      <c r="F2" s="37">
        <f>$D2*(1-(SQRT(YEARFRAC($A$2,$A2,2))*(2*$B2)))</f>
        <v>5.3175100000000003E-2</v>
      </c>
      <c r="G2" s="37">
        <f>$D2*(1-(SQRT(YEARFRAC($A$2,$A2,2))*(1*$B2)))</f>
        <v>5.3175100000000003E-2</v>
      </c>
      <c r="H2" s="37">
        <f>$D2*(1+(SQRT(YEARFRAC($A$2,$A2,2))*(1*$B2)))</f>
        <v>5.3175100000000003E-2</v>
      </c>
      <c r="I2" s="37">
        <f>$D2*(1+(SQRT(YEARFRAC($A$2,$A2,2))*(2*$B2)))</f>
        <v>5.3175100000000003E-2</v>
      </c>
      <c r="K2" s="37">
        <f t="shared" ref="K2:K33" si="0">VLOOKUP(A2,$S$2:$T$134,2,FALSE)</f>
        <v>5.33E-2</v>
      </c>
      <c r="L2" s="34">
        <v>0.06</v>
      </c>
      <c r="M2" s="27">
        <f>D2+0.25%</f>
        <v>5.5675100000000005E-2</v>
      </c>
      <c r="N2" s="37">
        <f>D2+0.5%</f>
        <v>5.81751E-2</v>
      </c>
      <c r="P2" s="37">
        <f>IF('Cap Pricer'!$G$27=DataValidation!$B$2,'Vols - Forward Curve'!I2,IF('Cap Pricer'!$G$27=DataValidation!$B$3,'Vols - Forward Curve'!H2,IF('Cap Pricer'!$G$27=DataValidation!$B$4,'Vols - Forward Curve'!D2,IF('Cap Pricer'!$G$27=DataValidation!$B$5,'Vols - Forward Curve'!G2,IF('Cap Pricer'!$G$27=DataValidation!$B$6,'Vols - Forward Curve'!F2,IF('Cap Pricer'!$G$27=DataValidation!$B$8,'Vols - Forward Curve'!K2,IF('Cap Pricer'!$G$27=DataValidation!$B$9,'Vols - Forward Curve'!L2,IF('Cap Pricer'!$G$27=DataValidation!$B$10,'Vols - Forward Curve'!M2,IF('Cap Pricer'!$G$27=DataValidation!$B$11,'Vols - Forward Curve'!N2,"")))))))))</f>
        <v>5.3175100000000003E-2</v>
      </c>
      <c r="S2" s="200">
        <f>Volatilities_Resets!C4</f>
        <v>45194</v>
      </c>
      <c r="T2" s="198">
        <v>5.33E-2</v>
      </c>
    </row>
    <row r="3" spans="1:20" x14ac:dyDescent="0.25">
      <c r="A3" s="33">
        <f>Volatilities_Resets!C5</f>
        <v>45224</v>
      </c>
      <c r="B3" s="130">
        <f>Volatilities_Resets!AC5/100</f>
        <v>1.1549</v>
      </c>
      <c r="C3" s="37"/>
      <c r="D3" s="130">
        <f>Volatilities_Resets!E5/100</f>
        <v>5.3621100000000005E-2</v>
      </c>
      <c r="E3" s="34"/>
      <c r="F3" s="37">
        <f t="shared" ref="F3:F66" si="1">$D3*(1-(SQRT(YEARFRAC($A$2,$A3,2))*(2*$B3)))</f>
        <v>1.7867525035925289E-2</v>
      </c>
      <c r="G3" s="37">
        <f t="shared" ref="G3:G66" si="2">$D3*(1-(SQRT(YEARFRAC($A$2,$A3,2))*(1*$B3)))</f>
        <v>3.5744312517962645E-2</v>
      </c>
      <c r="H3" s="37">
        <f t="shared" ref="H3:H66" si="3">$D3*(1+(SQRT(YEARFRAC($A$2,$A3,2))*(1*$B3)))</f>
        <v>7.1497887482037351E-2</v>
      </c>
      <c r="I3" s="37">
        <f t="shared" ref="I3:I66" si="4">$D3*(1+(SQRT(YEARFRAC($A$2,$A3,2))*(2*$B3)))</f>
        <v>8.9374674964074724E-2</v>
      </c>
      <c r="K3" s="37">
        <f t="shared" si="0"/>
        <v>5.4283333333333336E-2</v>
      </c>
      <c r="L3" s="34">
        <v>0.06</v>
      </c>
      <c r="M3" s="27">
        <f t="shared" ref="M3:M66" si="5">D3+0.25%</f>
        <v>5.6121100000000007E-2</v>
      </c>
      <c r="N3" s="37">
        <f t="shared" ref="N3:N66" si="6">D3+0.5%</f>
        <v>5.8621100000000002E-2</v>
      </c>
      <c r="P3" s="37">
        <f>IF('Cap Pricer'!$G$27=DataValidation!$B$2,'Vols - Forward Curve'!I3,IF('Cap Pricer'!$G$27=DataValidation!$B$3,'Vols - Forward Curve'!H3,IF('Cap Pricer'!$G$27=DataValidation!$B$4,'Vols - Forward Curve'!D3,IF('Cap Pricer'!$G$27=DataValidation!$B$5,'Vols - Forward Curve'!G3,IF('Cap Pricer'!$G$27=DataValidation!$B$6,'Vols - Forward Curve'!F3,IF('Cap Pricer'!$G$27=DataValidation!$B$8,'Vols - Forward Curve'!K3,IF('Cap Pricer'!$G$27=DataValidation!$B$9,'Vols - Forward Curve'!L3,IF('Cap Pricer'!$G$27=DataValidation!$B$10,'Vols - Forward Curve'!M3,IF('Cap Pricer'!$G$27=DataValidation!$B$11,'Vols - Forward Curve'!N3,"")))))))))</f>
        <v>5.3621100000000005E-2</v>
      </c>
      <c r="S3" s="176">
        <f>EDATE(S2,1)</f>
        <v>45224</v>
      </c>
      <c r="T3" s="172">
        <v>5.4283333333333336E-2</v>
      </c>
    </row>
    <row r="4" spans="1:20" x14ac:dyDescent="0.25">
      <c r="A4" s="33">
        <f>Volatilities_Resets!C6</f>
        <v>45255</v>
      </c>
      <c r="B4" s="130">
        <f>Volatilities_Resets!AC6/100</f>
        <v>1.1435999999999999</v>
      </c>
      <c r="C4" s="37"/>
      <c r="D4" s="130">
        <f>Volatilities_Resets!E6/100</f>
        <v>5.4037599999999998E-2</v>
      </c>
      <c r="E4" s="34"/>
      <c r="F4" s="37">
        <f t="shared" si="1"/>
        <v>3.1614942105192812E-3</v>
      </c>
      <c r="G4" s="37">
        <f t="shared" si="2"/>
        <v>2.8599547105259637E-2</v>
      </c>
      <c r="H4" s="37">
        <f t="shared" si="3"/>
        <v>7.9475652894740359E-2</v>
      </c>
      <c r="I4" s="37">
        <f t="shared" si="4"/>
        <v>0.10491370578948073</v>
      </c>
      <c r="K4" s="37">
        <f t="shared" si="0"/>
        <v>5.5266666666666672E-2</v>
      </c>
      <c r="L4" s="34">
        <v>0.06</v>
      </c>
      <c r="M4" s="27">
        <f t="shared" si="5"/>
        <v>5.65376E-2</v>
      </c>
      <c r="N4" s="37">
        <f t="shared" si="6"/>
        <v>5.9037599999999996E-2</v>
      </c>
      <c r="P4" s="37">
        <f>IF('Cap Pricer'!$G$27=DataValidation!$B$2,'Vols - Forward Curve'!I4,IF('Cap Pricer'!$G$27=DataValidation!$B$3,'Vols - Forward Curve'!H4,IF('Cap Pricer'!$G$27=DataValidation!$B$4,'Vols - Forward Curve'!D4,IF('Cap Pricer'!$G$27=DataValidation!$B$5,'Vols - Forward Curve'!G4,IF('Cap Pricer'!$G$27=DataValidation!$B$6,'Vols - Forward Curve'!F4,IF('Cap Pricer'!$G$27=DataValidation!$B$8,'Vols - Forward Curve'!K4,IF('Cap Pricer'!$G$27=DataValidation!$B$9,'Vols - Forward Curve'!L4,IF('Cap Pricer'!$G$27=DataValidation!$B$10,'Vols - Forward Curve'!M4,IF('Cap Pricer'!$G$27=DataValidation!$B$11,'Vols - Forward Curve'!N4,"")))))))))</f>
        <v>5.4037599999999998E-2</v>
      </c>
      <c r="S4" s="176">
        <f t="shared" ref="S4:S67" si="7">EDATE(S3,1)</f>
        <v>45255</v>
      </c>
      <c r="T4" s="172">
        <v>5.5266666666666672E-2</v>
      </c>
    </row>
    <row r="5" spans="1:20" x14ac:dyDescent="0.25">
      <c r="A5" s="33">
        <f>Volatilities_Resets!C7</f>
        <v>45285</v>
      </c>
      <c r="B5" s="130">
        <f>Volatilities_Resets!AC7/100</f>
        <v>1.1549</v>
      </c>
      <c r="C5" s="37"/>
      <c r="D5" s="130">
        <f>Volatilities_Resets!E7/100</f>
        <v>5.4432999999999995E-2</v>
      </c>
      <c r="E5" s="34"/>
      <c r="F5" s="37">
        <f t="shared" si="1"/>
        <v>-8.7799550947816295E-3</v>
      </c>
      <c r="G5" s="37">
        <f t="shared" si="2"/>
        <v>2.2826522452609185E-2</v>
      </c>
      <c r="H5" s="37">
        <f t="shared" si="3"/>
        <v>8.6039477547390802E-2</v>
      </c>
      <c r="I5" s="37">
        <f t="shared" si="4"/>
        <v>0.11764595509478162</v>
      </c>
      <c r="K5" s="37">
        <f t="shared" si="0"/>
        <v>5.6250000000000001E-2</v>
      </c>
      <c r="L5" s="34">
        <v>0.06</v>
      </c>
      <c r="M5" s="27">
        <f t="shared" si="5"/>
        <v>5.6932999999999997E-2</v>
      </c>
      <c r="N5" s="37">
        <f t="shared" si="6"/>
        <v>5.9432999999999993E-2</v>
      </c>
      <c r="P5" s="37">
        <f>IF('Cap Pricer'!$G$27=DataValidation!$B$2,'Vols - Forward Curve'!I5,IF('Cap Pricer'!$G$27=DataValidation!$B$3,'Vols - Forward Curve'!H5,IF('Cap Pricer'!$G$27=DataValidation!$B$4,'Vols - Forward Curve'!D5,IF('Cap Pricer'!$G$27=DataValidation!$B$5,'Vols - Forward Curve'!G5,IF('Cap Pricer'!$G$27=DataValidation!$B$6,'Vols - Forward Curve'!F5,IF('Cap Pricer'!$G$27=DataValidation!$B$8,'Vols - Forward Curve'!K5,IF('Cap Pricer'!$G$27=DataValidation!$B$9,'Vols - Forward Curve'!L5,IF('Cap Pricer'!$G$27=DataValidation!$B$10,'Vols - Forward Curve'!M5,IF('Cap Pricer'!$G$27=DataValidation!$B$11,'Vols - Forward Curve'!N5,"")))))))))</f>
        <v>5.4432999999999995E-2</v>
      </c>
      <c r="S5" s="176">
        <f t="shared" si="7"/>
        <v>45285</v>
      </c>
      <c r="T5" s="172">
        <v>5.6250000000000001E-2</v>
      </c>
    </row>
    <row r="6" spans="1:20" x14ac:dyDescent="0.25">
      <c r="A6" s="33">
        <f>Volatilities_Resets!C8</f>
        <v>45316</v>
      </c>
      <c r="B6" s="130">
        <f>Volatilities_Resets!AC8/100</f>
        <v>1.1675</v>
      </c>
      <c r="C6" s="37"/>
      <c r="D6" s="130">
        <f>Volatilities_Resets!E8/100</f>
        <v>5.4416900000000004E-2</v>
      </c>
      <c r="E6" s="34"/>
      <c r="F6" s="37">
        <f t="shared" si="1"/>
        <v>-1.95520318471719E-2</v>
      </c>
      <c r="G6" s="37">
        <f t="shared" si="2"/>
        <v>1.7432434076414052E-2</v>
      </c>
      <c r="H6" s="37">
        <f t="shared" si="3"/>
        <v>9.1401365923585956E-2</v>
      </c>
      <c r="I6" s="37">
        <f t="shared" si="4"/>
        <v>0.12838583184717192</v>
      </c>
      <c r="K6" s="37">
        <f t="shared" si="0"/>
        <v>5.5833333333333332E-2</v>
      </c>
      <c r="L6" s="34">
        <v>0.06</v>
      </c>
      <c r="M6" s="27">
        <f t="shared" si="5"/>
        <v>5.6916900000000006E-2</v>
      </c>
      <c r="N6" s="37">
        <f t="shared" si="6"/>
        <v>5.9416900000000002E-2</v>
      </c>
      <c r="P6" s="37">
        <f>IF('Cap Pricer'!$G$27=DataValidation!$B$2,'Vols - Forward Curve'!I6,IF('Cap Pricer'!$G$27=DataValidation!$B$3,'Vols - Forward Curve'!H6,IF('Cap Pricer'!$G$27=DataValidation!$B$4,'Vols - Forward Curve'!D6,IF('Cap Pricer'!$G$27=DataValidation!$B$5,'Vols - Forward Curve'!G6,IF('Cap Pricer'!$G$27=DataValidation!$B$6,'Vols - Forward Curve'!F6,IF('Cap Pricer'!$G$27=DataValidation!$B$8,'Vols - Forward Curve'!K6,IF('Cap Pricer'!$G$27=DataValidation!$B$9,'Vols - Forward Curve'!L6,IF('Cap Pricer'!$G$27=DataValidation!$B$10,'Vols - Forward Curve'!M6,IF('Cap Pricer'!$G$27=DataValidation!$B$11,'Vols - Forward Curve'!N6,"")))))))))</f>
        <v>5.4416900000000004E-2</v>
      </c>
      <c r="S6" s="176">
        <f t="shared" si="7"/>
        <v>45316</v>
      </c>
      <c r="T6" s="172">
        <v>5.5833333333333332E-2</v>
      </c>
    </row>
    <row r="7" spans="1:20" x14ac:dyDescent="0.25">
      <c r="A7" s="33">
        <f>Volatilities_Resets!C9</f>
        <v>45347</v>
      </c>
      <c r="B7" s="130">
        <f>Volatilities_Resets!AC9/100</f>
        <v>1.1798</v>
      </c>
      <c r="C7" s="37"/>
      <c r="D7" s="130">
        <f>Volatilities_Resets!E9/100</f>
        <v>5.4331500000000005E-2</v>
      </c>
      <c r="E7" s="34"/>
      <c r="F7" s="37">
        <f t="shared" si="1"/>
        <v>-2.9245070811052043E-2</v>
      </c>
      <c r="G7" s="37">
        <f t="shared" si="2"/>
        <v>1.2543214594473981E-2</v>
      </c>
      <c r="H7" s="37">
        <f t="shared" si="3"/>
        <v>9.6119785405526029E-2</v>
      </c>
      <c r="I7" s="37">
        <f t="shared" si="4"/>
        <v>0.13790807081105205</v>
      </c>
      <c r="K7" s="37">
        <f t="shared" si="0"/>
        <v>5.5416666666666663E-2</v>
      </c>
      <c r="L7" s="34">
        <v>0.06</v>
      </c>
      <c r="M7" s="27">
        <f t="shared" si="5"/>
        <v>5.6831500000000007E-2</v>
      </c>
      <c r="N7" s="37">
        <f t="shared" si="6"/>
        <v>5.9331500000000002E-2</v>
      </c>
      <c r="P7" s="37">
        <f>IF('Cap Pricer'!$G$27=DataValidation!$B$2,'Vols - Forward Curve'!I7,IF('Cap Pricer'!$G$27=DataValidation!$B$3,'Vols - Forward Curve'!H7,IF('Cap Pricer'!$G$27=DataValidation!$B$4,'Vols - Forward Curve'!D7,IF('Cap Pricer'!$G$27=DataValidation!$B$5,'Vols - Forward Curve'!G7,IF('Cap Pricer'!$G$27=DataValidation!$B$6,'Vols - Forward Curve'!F7,IF('Cap Pricer'!$G$27=DataValidation!$B$8,'Vols - Forward Curve'!K7,IF('Cap Pricer'!$G$27=DataValidation!$B$9,'Vols - Forward Curve'!L7,IF('Cap Pricer'!$G$27=DataValidation!$B$10,'Vols - Forward Curve'!M7,IF('Cap Pricer'!$G$27=DataValidation!$B$11,'Vols - Forward Curve'!N7,"")))))))))</f>
        <v>5.4331500000000005E-2</v>
      </c>
      <c r="S7" s="176">
        <f t="shared" si="7"/>
        <v>45347</v>
      </c>
      <c r="T7" s="172">
        <v>5.5416666666666663E-2</v>
      </c>
    </row>
    <row r="8" spans="1:20" x14ac:dyDescent="0.25">
      <c r="A8" s="33">
        <f>Volatilities_Resets!C10</f>
        <v>45376</v>
      </c>
      <c r="B8" s="130">
        <f>Volatilities_Resets!AC10/100</f>
        <v>1.1520999999999999</v>
      </c>
      <c r="C8" s="37"/>
      <c r="D8" s="130">
        <f>Volatilities_Resets!E10/100</f>
        <v>5.4095299999999999E-2</v>
      </c>
      <c r="E8" s="34"/>
      <c r="F8" s="37">
        <f t="shared" si="1"/>
        <v>-3.4531312414142284E-2</v>
      </c>
      <c r="G8" s="37">
        <f t="shared" si="2"/>
        <v>9.7819937929288555E-3</v>
      </c>
      <c r="H8" s="37">
        <f t="shared" si="3"/>
        <v>9.8408606207071148E-2</v>
      </c>
      <c r="I8" s="37">
        <f t="shared" si="4"/>
        <v>0.14272191241414228</v>
      </c>
      <c r="K8" s="37">
        <f t="shared" si="0"/>
        <v>5.4999999999999993E-2</v>
      </c>
      <c r="L8" s="34">
        <v>0.06</v>
      </c>
      <c r="M8" s="27">
        <f t="shared" si="5"/>
        <v>5.6595300000000001E-2</v>
      </c>
      <c r="N8" s="37">
        <f t="shared" si="6"/>
        <v>5.9095299999999996E-2</v>
      </c>
      <c r="P8" s="37">
        <f>IF('Cap Pricer'!$G$27=DataValidation!$B$2,'Vols - Forward Curve'!I8,IF('Cap Pricer'!$G$27=DataValidation!$B$3,'Vols - Forward Curve'!H8,IF('Cap Pricer'!$G$27=DataValidation!$B$4,'Vols - Forward Curve'!D8,IF('Cap Pricer'!$G$27=DataValidation!$B$5,'Vols - Forward Curve'!G8,IF('Cap Pricer'!$G$27=DataValidation!$B$6,'Vols - Forward Curve'!F8,IF('Cap Pricer'!$G$27=DataValidation!$B$8,'Vols - Forward Curve'!K8,IF('Cap Pricer'!$G$27=DataValidation!$B$9,'Vols - Forward Curve'!L8,IF('Cap Pricer'!$G$27=DataValidation!$B$10,'Vols - Forward Curve'!M8,IF('Cap Pricer'!$G$27=DataValidation!$B$11,'Vols - Forward Curve'!N8,"")))))))))</f>
        <v>5.4095299999999999E-2</v>
      </c>
      <c r="S8" s="199">
        <f t="shared" si="7"/>
        <v>45376</v>
      </c>
      <c r="T8" s="198">
        <v>5.4999999999999993E-2</v>
      </c>
    </row>
    <row r="9" spans="1:20" x14ac:dyDescent="0.25">
      <c r="A9" s="33">
        <f>Volatilities_Resets!C11</f>
        <v>45407</v>
      </c>
      <c r="B9" s="130">
        <f>Volatilities_Resets!AC11/100</f>
        <v>1.177</v>
      </c>
      <c r="C9" s="37"/>
      <c r="D9" s="130">
        <f>Volatilities_Resets!E11/100</f>
        <v>5.3469800000000005E-2</v>
      </c>
      <c r="E9" s="34"/>
      <c r="F9" s="37">
        <f t="shared" si="1"/>
        <v>-4.3347634303475734E-2</v>
      </c>
      <c r="G9" s="37">
        <f t="shared" si="2"/>
        <v>5.0610828482621356E-3</v>
      </c>
      <c r="H9" s="37">
        <f t="shared" si="3"/>
        <v>0.10187851715173787</v>
      </c>
      <c r="I9" s="37">
        <f t="shared" si="4"/>
        <v>0.15028723430347574</v>
      </c>
      <c r="K9" s="37">
        <f t="shared" si="0"/>
        <v>5.4583333333333324E-2</v>
      </c>
      <c r="L9" s="34">
        <v>0.06</v>
      </c>
      <c r="M9" s="27">
        <f t="shared" si="5"/>
        <v>5.5969800000000007E-2</v>
      </c>
      <c r="N9" s="37">
        <f t="shared" si="6"/>
        <v>5.8469800000000002E-2</v>
      </c>
      <c r="P9" s="37">
        <f>IF('Cap Pricer'!$G$27=DataValidation!$B$2,'Vols - Forward Curve'!I9,IF('Cap Pricer'!$G$27=DataValidation!$B$3,'Vols - Forward Curve'!H9,IF('Cap Pricer'!$G$27=DataValidation!$B$4,'Vols - Forward Curve'!D9,IF('Cap Pricer'!$G$27=DataValidation!$B$5,'Vols - Forward Curve'!G9,IF('Cap Pricer'!$G$27=DataValidation!$B$6,'Vols - Forward Curve'!F9,IF('Cap Pricer'!$G$27=DataValidation!$B$8,'Vols - Forward Curve'!K9,IF('Cap Pricer'!$G$27=DataValidation!$B$9,'Vols - Forward Curve'!L9,IF('Cap Pricer'!$G$27=DataValidation!$B$10,'Vols - Forward Curve'!M9,IF('Cap Pricer'!$G$27=DataValidation!$B$11,'Vols - Forward Curve'!N9,"")))))))))</f>
        <v>5.3469800000000005E-2</v>
      </c>
      <c r="S9" s="176">
        <f t="shared" si="7"/>
        <v>45407</v>
      </c>
      <c r="T9" s="172">
        <v>5.4583333333333324E-2</v>
      </c>
    </row>
    <row r="10" spans="1:20" x14ac:dyDescent="0.25">
      <c r="A10" s="33">
        <f>Volatilities_Resets!C12</f>
        <v>45437</v>
      </c>
      <c r="B10" s="130">
        <f>Volatilities_Resets!AC12/100</f>
        <v>1.2008000000000001</v>
      </c>
      <c r="C10" s="37"/>
      <c r="D10" s="130">
        <f>Volatilities_Resets!E12/100</f>
        <v>5.2872300000000004E-2</v>
      </c>
      <c r="E10" s="34"/>
      <c r="F10" s="37">
        <f t="shared" si="1"/>
        <v>-5.1450867401154669E-2</v>
      </c>
      <c r="G10" s="37">
        <f t="shared" si="2"/>
        <v>7.1071629942266604E-4</v>
      </c>
      <c r="H10" s="37">
        <f t="shared" si="3"/>
        <v>0.10503388370057734</v>
      </c>
      <c r="I10" s="37">
        <f t="shared" si="4"/>
        <v>0.15719546740115467</v>
      </c>
      <c r="K10" s="37">
        <f t="shared" si="0"/>
        <v>5.4166666666666655E-2</v>
      </c>
      <c r="L10" s="34">
        <v>0.06</v>
      </c>
      <c r="M10" s="27">
        <f t="shared" si="5"/>
        <v>5.5372300000000006E-2</v>
      </c>
      <c r="N10" s="37">
        <f t="shared" si="6"/>
        <v>5.7872300000000002E-2</v>
      </c>
      <c r="P10" s="37">
        <f>IF('Cap Pricer'!$G$27=DataValidation!$B$2,'Vols - Forward Curve'!I10,IF('Cap Pricer'!$G$27=DataValidation!$B$3,'Vols - Forward Curve'!H10,IF('Cap Pricer'!$G$27=DataValidation!$B$4,'Vols - Forward Curve'!D10,IF('Cap Pricer'!$G$27=DataValidation!$B$5,'Vols - Forward Curve'!G10,IF('Cap Pricer'!$G$27=DataValidation!$B$6,'Vols - Forward Curve'!F10,IF('Cap Pricer'!$G$27=DataValidation!$B$8,'Vols - Forward Curve'!K10,IF('Cap Pricer'!$G$27=DataValidation!$B$9,'Vols - Forward Curve'!L10,IF('Cap Pricer'!$G$27=DataValidation!$B$10,'Vols - Forward Curve'!M10,IF('Cap Pricer'!$G$27=DataValidation!$B$11,'Vols - Forward Curve'!N10,"")))))))))</f>
        <v>5.2872300000000004E-2</v>
      </c>
      <c r="S10" s="176">
        <f t="shared" si="7"/>
        <v>45437</v>
      </c>
      <c r="T10" s="172">
        <v>5.4166666666666655E-2</v>
      </c>
    </row>
    <row r="11" spans="1:20" x14ac:dyDescent="0.25">
      <c r="A11" s="33">
        <f>Volatilities_Resets!C13</f>
        <v>45468</v>
      </c>
      <c r="B11" s="130">
        <f>Volatilities_Resets!AC13/100</f>
        <v>1.1571</v>
      </c>
      <c r="C11" s="37"/>
      <c r="D11" s="130">
        <f>Volatilities_Resets!E13/100</f>
        <v>5.2385599999999997E-2</v>
      </c>
      <c r="E11" s="34"/>
      <c r="F11" s="37">
        <f t="shared" si="1"/>
        <v>-5.3378150445697277E-2</v>
      </c>
      <c r="G11" s="37">
        <f t="shared" si="2"/>
        <v>-4.962752228486381E-4</v>
      </c>
      <c r="H11" s="37">
        <f t="shared" si="3"/>
        <v>0.10526747522284863</v>
      </c>
      <c r="I11" s="37">
        <f t="shared" si="4"/>
        <v>0.15814935044569728</v>
      </c>
      <c r="K11" s="37">
        <f t="shared" si="0"/>
        <v>5.3749999999999985E-2</v>
      </c>
      <c r="L11" s="34">
        <v>0.06</v>
      </c>
      <c r="M11" s="27">
        <f t="shared" si="5"/>
        <v>5.48856E-2</v>
      </c>
      <c r="N11" s="37">
        <f t="shared" si="6"/>
        <v>5.7385599999999995E-2</v>
      </c>
      <c r="P11" s="37">
        <f>IF('Cap Pricer'!$G$27=DataValidation!$B$2,'Vols - Forward Curve'!I11,IF('Cap Pricer'!$G$27=DataValidation!$B$3,'Vols - Forward Curve'!H11,IF('Cap Pricer'!$G$27=DataValidation!$B$4,'Vols - Forward Curve'!D11,IF('Cap Pricer'!$G$27=DataValidation!$B$5,'Vols - Forward Curve'!G11,IF('Cap Pricer'!$G$27=DataValidation!$B$6,'Vols - Forward Curve'!F11,IF('Cap Pricer'!$G$27=DataValidation!$B$8,'Vols - Forward Curve'!K11,IF('Cap Pricer'!$G$27=DataValidation!$B$9,'Vols - Forward Curve'!L11,IF('Cap Pricer'!$G$27=DataValidation!$B$10,'Vols - Forward Curve'!M11,IF('Cap Pricer'!$G$27=DataValidation!$B$11,'Vols - Forward Curve'!N11,"")))))))))</f>
        <v>5.2385599999999997E-2</v>
      </c>
      <c r="S11" s="176">
        <f t="shared" si="7"/>
        <v>45468</v>
      </c>
      <c r="T11" s="172">
        <v>5.3749999999999985E-2</v>
      </c>
    </row>
    <row r="12" spans="1:20" x14ac:dyDescent="0.25">
      <c r="A12" s="33">
        <f>Volatilities_Resets!C14</f>
        <v>45498</v>
      </c>
      <c r="B12" s="130">
        <f>Volatilities_Resets!AC14/100</f>
        <v>1.2575000000000001</v>
      </c>
      <c r="C12" s="37"/>
      <c r="D12" s="130">
        <f>Volatilities_Resets!E14/100</f>
        <v>5.1511599999999998E-2</v>
      </c>
      <c r="E12" s="34"/>
      <c r="F12" s="37">
        <f t="shared" si="1"/>
        <v>-6.7538172688726625E-2</v>
      </c>
      <c r="G12" s="37">
        <f t="shared" si="2"/>
        <v>-8.0132863443633153E-3</v>
      </c>
      <c r="H12" s="37">
        <f t="shared" si="3"/>
        <v>0.11103648634436331</v>
      </c>
      <c r="I12" s="37">
        <f t="shared" si="4"/>
        <v>0.17056137268872662</v>
      </c>
      <c r="K12" s="37">
        <f t="shared" si="0"/>
        <v>5.3333333333333316E-2</v>
      </c>
      <c r="L12" s="34">
        <v>0.06</v>
      </c>
      <c r="M12" s="27">
        <f t="shared" si="5"/>
        <v>5.40116E-2</v>
      </c>
      <c r="N12" s="37">
        <f t="shared" si="6"/>
        <v>5.6511599999999995E-2</v>
      </c>
      <c r="P12" s="37">
        <f>IF('Cap Pricer'!$G$27=DataValidation!$B$2,'Vols - Forward Curve'!I12,IF('Cap Pricer'!$G$27=DataValidation!$B$3,'Vols - Forward Curve'!H12,IF('Cap Pricer'!$G$27=DataValidation!$B$4,'Vols - Forward Curve'!D12,IF('Cap Pricer'!$G$27=DataValidation!$B$5,'Vols - Forward Curve'!G12,IF('Cap Pricer'!$G$27=DataValidation!$B$6,'Vols - Forward Curve'!F12,IF('Cap Pricer'!$G$27=DataValidation!$B$8,'Vols - Forward Curve'!K12,IF('Cap Pricer'!$G$27=DataValidation!$B$9,'Vols - Forward Curve'!L12,IF('Cap Pricer'!$G$27=DataValidation!$B$10,'Vols - Forward Curve'!M12,IF('Cap Pricer'!$G$27=DataValidation!$B$11,'Vols - Forward Curve'!N12,"")))))))))</f>
        <v>5.1511599999999998E-2</v>
      </c>
      <c r="S12" s="176">
        <f t="shared" si="7"/>
        <v>45498</v>
      </c>
      <c r="T12" s="172">
        <v>5.3333333333333316E-2</v>
      </c>
    </row>
    <row r="13" spans="1:20" x14ac:dyDescent="0.25">
      <c r="A13" s="33">
        <f>Volatilities_Resets!C15</f>
        <v>45529</v>
      </c>
      <c r="B13" s="130">
        <f>Volatilities_Resets!AC15/100</f>
        <v>1.3505</v>
      </c>
      <c r="C13" s="37"/>
      <c r="D13" s="130">
        <f>Volatilities_Resets!E15/100</f>
        <v>5.0869799999999993E-2</v>
      </c>
      <c r="E13" s="34"/>
      <c r="F13" s="37">
        <f t="shared" si="1"/>
        <v>-8.1672886026457045E-2</v>
      </c>
      <c r="G13" s="37">
        <f t="shared" si="2"/>
        <v>-1.5401543013228524E-2</v>
      </c>
      <c r="H13" s="37">
        <f t="shared" si="3"/>
        <v>0.11714114301322852</v>
      </c>
      <c r="I13" s="37">
        <f t="shared" si="4"/>
        <v>0.18341248602645702</v>
      </c>
      <c r="K13" s="37">
        <f t="shared" si="0"/>
        <v>5.2916666666666647E-2</v>
      </c>
      <c r="L13" s="34">
        <v>0.06</v>
      </c>
      <c r="M13" s="27">
        <f t="shared" si="5"/>
        <v>5.3369799999999995E-2</v>
      </c>
      <c r="N13" s="37">
        <f t="shared" si="6"/>
        <v>5.586979999999999E-2</v>
      </c>
      <c r="P13" s="37">
        <f>IF('Cap Pricer'!$G$27=DataValidation!$B$2,'Vols - Forward Curve'!I13,IF('Cap Pricer'!$G$27=DataValidation!$B$3,'Vols - Forward Curve'!H13,IF('Cap Pricer'!$G$27=DataValidation!$B$4,'Vols - Forward Curve'!D13,IF('Cap Pricer'!$G$27=DataValidation!$B$5,'Vols - Forward Curve'!G13,IF('Cap Pricer'!$G$27=DataValidation!$B$6,'Vols - Forward Curve'!F13,IF('Cap Pricer'!$G$27=DataValidation!$B$8,'Vols - Forward Curve'!K13,IF('Cap Pricer'!$G$27=DataValidation!$B$9,'Vols - Forward Curve'!L13,IF('Cap Pricer'!$G$27=DataValidation!$B$10,'Vols - Forward Curve'!M13,IF('Cap Pricer'!$G$27=DataValidation!$B$11,'Vols - Forward Curve'!N13,"")))))))))</f>
        <v>5.0869799999999993E-2</v>
      </c>
      <c r="S13" s="176">
        <f t="shared" si="7"/>
        <v>45529</v>
      </c>
      <c r="T13" s="172">
        <v>5.2916666666666647E-2</v>
      </c>
    </row>
    <row r="14" spans="1:20" x14ac:dyDescent="0.25">
      <c r="A14" s="33">
        <f>Volatilities_Resets!C16</f>
        <v>45560</v>
      </c>
      <c r="B14" s="130">
        <f>Volatilities_Resets!AC16/100</f>
        <v>1.3984000000000001</v>
      </c>
      <c r="C14" s="37"/>
      <c r="D14" s="130">
        <f>Volatilities_Resets!E16/100</f>
        <v>4.7367600000000003E-2</v>
      </c>
      <c r="E14" s="34"/>
      <c r="F14" s="37">
        <f t="shared" si="1"/>
        <v>-8.620952256170461E-2</v>
      </c>
      <c r="G14" s="37">
        <f t="shared" si="2"/>
        <v>-1.94209612808523E-2</v>
      </c>
      <c r="H14" s="37">
        <f t="shared" si="3"/>
        <v>0.11415616128085229</v>
      </c>
      <c r="I14" s="37">
        <f t="shared" si="4"/>
        <v>0.1809447225617046</v>
      </c>
      <c r="K14" s="37">
        <f t="shared" si="0"/>
        <v>5.2499999999999977E-2</v>
      </c>
      <c r="L14" s="34">
        <v>0.06</v>
      </c>
      <c r="M14" s="27">
        <f t="shared" si="5"/>
        <v>4.9867600000000005E-2</v>
      </c>
      <c r="N14" s="37">
        <f t="shared" si="6"/>
        <v>5.23676E-2</v>
      </c>
      <c r="P14" s="37">
        <f>IF('Cap Pricer'!$G$27=DataValidation!$B$2,'Vols - Forward Curve'!I14,IF('Cap Pricer'!$G$27=DataValidation!$B$3,'Vols - Forward Curve'!H14,IF('Cap Pricer'!$G$27=DataValidation!$B$4,'Vols - Forward Curve'!D14,IF('Cap Pricer'!$G$27=DataValidation!$B$5,'Vols - Forward Curve'!G14,IF('Cap Pricer'!$G$27=DataValidation!$B$6,'Vols - Forward Curve'!F14,IF('Cap Pricer'!$G$27=DataValidation!$B$8,'Vols - Forward Curve'!K14,IF('Cap Pricer'!$G$27=DataValidation!$B$9,'Vols - Forward Curve'!L14,IF('Cap Pricer'!$G$27=DataValidation!$B$10,'Vols - Forward Curve'!M14,IF('Cap Pricer'!$G$27=DataValidation!$B$11,'Vols - Forward Curve'!N14,"")))))))))</f>
        <v>4.7367600000000003E-2</v>
      </c>
      <c r="S14" s="176">
        <f t="shared" si="7"/>
        <v>45560</v>
      </c>
      <c r="T14" s="172">
        <v>5.2499999999999977E-2</v>
      </c>
    </row>
    <row r="15" spans="1:20" x14ac:dyDescent="0.25">
      <c r="A15" s="33">
        <f>Volatilities_Resets!C17</f>
        <v>45590</v>
      </c>
      <c r="B15" s="130">
        <f>Volatilities_Resets!AC17/100</f>
        <v>1.3980000000000001</v>
      </c>
      <c r="C15" s="37"/>
      <c r="D15" s="130">
        <f>Volatilities_Resets!E17/100</f>
        <v>4.7253200000000002E-2</v>
      </c>
      <c r="E15" s="34"/>
      <c r="F15" s="37">
        <f t="shared" si="1"/>
        <v>-9.1315369643133262E-2</v>
      </c>
      <c r="G15" s="37">
        <f t="shared" si="2"/>
        <v>-2.203108482156663E-2</v>
      </c>
      <c r="H15" s="37">
        <f t="shared" si="3"/>
        <v>0.11653748482156663</v>
      </c>
      <c r="I15" s="37">
        <f t="shared" si="4"/>
        <v>0.18582176964313327</v>
      </c>
      <c r="K15" s="37">
        <f t="shared" si="0"/>
        <v>5.2083333333333308E-2</v>
      </c>
      <c r="L15" s="34">
        <v>0.06</v>
      </c>
      <c r="M15" s="27">
        <f t="shared" si="5"/>
        <v>4.9753200000000004E-2</v>
      </c>
      <c r="N15" s="37">
        <f t="shared" si="6"/>
        <v>5.22532E-2</v>
      </c>
      <c r="P15" s="37">
        <f>IF('Cap Pricer'!$G$27=DataValidation!$B$2,'Vols - Forward Curve'!I15,IF('Cap Pricer'!$G$27=DataValidation!$B$3,'Vols - Forward Curve'!H15,IF('Cap Pricer'!$G$27=DataValidation!$B$4,'Vols - Forward Curve'!D15,IF('Cap Pricer'!$G$27=DataValidation!$B$5,'Vols - Forward Curve'!G15,IF('Cap Pricer'!$G$27=DataValidation!$B$6,'Vols - Forward Curve'!F15,IF('Cap Pricer'!$G$27=DataValidation!$B$8,'Vols - Forward Curve'!K15,IF('Cap Pricer'!$G$27=DataValidation!$B$9,'Vols - Forward Curve'!L15,IF('Cap Pricer'!$G$27=DataValidation!$B$10,'Vols - Forward Curve'!M15,IF('Cap Pricer'!$G$27=DataValidation!$B$11,'Vols - Forward Curve'!N15,"")))))))))</f>
        <v>4.7253200000000002E-2</v>
      </c>
      <c r="S15" s="176">
        <f t="shared" si="7"/>
        <v>45590</v>
      </c>
      <c r="T15" s="172">
        <v>5.2083333333333308E-2</v>
      </c>
    </row>
    <row r="16" spans="1:20" x14ac:dyDescent="0.25">
      <c r="A16" s="33">
        <f>Volatilities_Resets!C18</f>
        <v>45621</v>
      </c>
      <c r="B16" s="130">
        <f>Volatilities_Resets!AC18/100</f>
        <v>1.3977999999999999</v>
      </c>
      <c r="C16" s="37"/>
      <c r="D16" s="130">
        <f>Volatilities_Resets!E18/100</f>
        <v>4.7247000000000004E-2</v>
      </c>
      <c r="E16" s="34"/>
      <c r="F16" s="37">
        <f t="shared" si="1"/>
        <v>-9.6603692405382191E-2</v>
      </c>
      <c r="G16" s="37">
        <f t="shared" si="2"/>
        <v>-2.467834620269109E-2</v>
      </c>
      <c r="H16" s="37">
        <f t="shared" si="3"/>
        <v>0.1191723462026911</v>
      </c>
      <c r="I16" s="37">
        <f t="shared" si="4"/>
        <v>0.19109769240538219</v>
      </c>
      <c r="K16" s="37">
        <f t="shared" si="0"/>
        <v>5.1666666666666639E-2</v>
      </c>
      <c r="L16" s="34">
        <v>0.06</v>
      </c>
      <c r="M16" s="27">
        <f t="shared" si="5"/>
        <v>4.9747000000000006E-2</v>
      </c>
      <c r="N16" s="37">
        <f t="shared" si="6"/>
        <v>5.2247000000000002E-2</v>
      </c>
      <c r="P16" s="37">
        <f>IF('Cap Pricer'!$G$27=DataValidation!$B$2,'Vols - Forward Curve'!I16,IF('Cap Pricer'!$G$27=DataValidation!$B$3,'Vols - Forward Curve'!H16,IF('Cap Pricer'!$G$27=DataValidation!$B$4,'Vols - Forward Curve'!D16,IF('Cap Pricer'!$G$27=DataValidation!$B$5,'Vols - Forward Curve'!G16,IF('Cap Pricer'!$G$27=DataValidation!$B$6,'Vols - Forward Curve'!F16,IF('Cap Pricer'!$G$27=DataValidation!$B$8,'Vols - Forward Curve'!K16,IF('Cap Pricer'!$G$27=DataValidation!$B$9,'Vols - Forward Curve'!L16,IF('Cap Pricer'!$G$27=DataValidation!$B$10,'Vols - Forward Curve'!M16,IF('Cap Pricer'!$G$27=DataValidation!$B$11,'Vols - Forward Curve'!N16,"")))))))))</f>
        <v>4.7247000000000004E-2</v>
      </c>
      <c r="S16" s="176">
        <f t="shared" si="7"/>
        <v>45621</v>
      </c>
      <c r="T16" s="172">
        <v>5.1666666666666639E-2</v>
      </c>
    </row>
    <row r="17" spans="1:20" x14ac:dyDescent="0.25">
      <c r="A17" s="33">
        <f>Volatilities_Resets!C19</f>
        <v>45651</v>
      </c>
      <c r="B17" s="130">
        <f>Volatilities_Resets!AC19/100</f>
        <v>1.3975</v>
      </c>
      <c r="C17" s="37"/>
      <c r="D17" s="130">
        <f>Volatilities_Resets!E19/100</f>
        <v>4.7253200000000002E-2</v>
      </c>
      <c r="E17" s="34"/>
      <c r="F17" s="37">
        <f t="shared" si="1"/>
        <v>-0.10155260933151751</v>
      </c>
      <c r="G17" s="37">
        <f t="shared" si="2"/>
        <v>-2.714970466575875E-2</v>
      </c>
      <c r="H17" s="37">
        <f t="shared" si="3"/>
        <v>0.12165610466575874</v>
      </c>
      <c r="I17" s="37">
        <f t="shared" si="4"/>
        <v>0.19605900933151749</v>
      </c>
      <c r="K17" s="37">
        <f t="shared" si="0"/>
        <v>5.1249999999999997E-2</v>
      </c>
      <c r="L17" s="34">
        <v>0.06</v>
      </c>
      <c r="M17" s="27">
        <f t="shared" si="5"/>
        <v>4.9753200000000004E-2</v>
      </c>
      <c r="N17" s="37">
        <f t="shared" si="6"/>
        <v>5.22532E-2</v>
      </c>
      <c r="P17" s="37">
        <f>IF('Cap Pricer'!$G$27=DataValidation!$B$2,'Vols - Forward Curve'!I17,IF('Cap Pricer'!$G$27=DataValidation!$B$3,'Vols - Forward Curve'!H17,IF('Cap Pricer'!$G$27=DataValidation!$B$4,'Vols - Forward Curve'!D17,IF('Cap Pricer'!$G$27=DataValidation!$B$5,'Vols - Forward Curve'!G17,IF('Cap Pricer'!$G$27=DataValidation!$B$6,'Vols - Forward Curve'!F17,IF('Cap Pricer'!$G$27=DataValidation!$B$8,'Vols - Forward Curve'!K17,IF('Cap Pricer'!$G$27=DataValidation!$B$9,'Vols - Forward Curve'!L17,IF('Cap Pricer'!$G$27=DataValidation!$B$10,'Vols - Forward Curve'!M17,IF('Cap Pricer'!$G$27=DataValidation!$B$11,'Vols - Forward Curve'!N17,"")))))))))</f>
        <v>4.7253200000000002E-2</v>
      </c>
      <c r="S17" s="176">
        <f t="shared" si="7"/>
        <v>45651</v>
      </c>
      <c r="T17" s="172">
        <v>5.1249999999999997E-2</v>
      </c>
    </row>
    <row r="18" spans="1:20" x14ac:dyDescent="0.25">
      <c r="A18" s="33">
        <f>Volatilities_Resets!C20</f>
        <v>45682</v>
      </c>
      <c r="B18" s="130">
        <f>Volatilities_Resets!AC20/100</f>
        <v>1.4080000000000001</v>
      </c>
      <c r="C18" s="37"/>
      <c r="D18" s="130">
        <f>Volatilities_Resets!E20/100</f>
        <v>4.7250100000000003E-2</v>
      </c>
      <c r="E18" s="34"/>
      <c r="F18" s="37">
        <f t="shared" si="1"/>
        <v>-0.10766510393545257</v>
      </c>
      <c r="G18" s="37">
        <f t="shared" si="2"/>
        <v>-3.0207501967726286E-2</v>
      </c>
      <c r="H18" s="37">
        <f t="shared" si="3"/>
        <v>0.12470770196772629</v>
      </c>
      <c r="I18" s="37">
        <f t="shared" si="4"/>
        <v>0.20216530393545259</v>
      </c>
      <c r="K18" s="37">
        <f t="shared" si="0"/>
        <v>5.0208333333333327E-2</v>
      </c>
      <c r="L18" s="34">
        <v>0.06</v>
      </c>
      <c r="M18" s="27">
        <f t="shared" si="5"/>
        <v>4.9750100000000005E-2</v>
      </c>
      <c r="N18" s="37">
        <f t="shared" si="6"/>
        <v>5.2250100000000001E-2</v>
      </c>
      <c r="P18" s="37">
        <f>IF('Cap Pricer'!$G$27=DataValidation!$B$2,'Vols - Forward Curve'!I18,IF('Cap Pricer'!$G$27=DataValidation!$B$3,'Vols - Forward Curve'!H18,IF('Cap Pricer'!$G$27=DataValidation!$B$4,'Vols - Forward Curve'!D18,IF('Cap Pricer'!$G$27=DataValidation!$B$5,'Vols - Forward Curve'!G18,IF('Cap Pricer'!$G$27=DataValidation!$B$6,'Vols - Forward Curve'!F18,IF('Cap Pricer'!$G$27=DataValidation!$B$8,'Vols - Forward Curve'!K18,IF('Cap Pricer'!$G$27=DataValidation!$B$9,'Vols - Forward Curve'!L18,IF('Cap Pricer'!$G$27=DataValidation!$B$10,'Vols - Forward Curve'!M18,IF('Cap Pricer'!$G$27=DataValidation!$B$11,'Vols - Forward Curve'!N18,"")))))))))</f>
        <v>4.7250100000000003E-2</v>
      </c>
      <c r="S18" s="176">
        <f t="shared" si="7"/>
        <v>45682</v>
      </c>
      <c r="T18" s="172">
        <v>5.0208333333333327E-2</v>
      </c>
    </row>
    <row r="19" spans="1:20" x14ac:dyDescent="0.25">
      <c r="A19" s="33">
        <f>Volatilities_Resets!C21</f>
        <v>45713</v>
      </c>
      <c r="B19" s="130">
        <f>Volatilities_Resets!AC21/100</f>
        <v>1.4184000000000001</v>
      </c>
      <c r="C19" s="37"/>
      <c r="D19" s="130">
        <f>Volatilities_Resets!E21/100</f>
        <v>4.7240799999999999E-2</v>
      </c>
      <c r="E19" s="34"/>
      <c r="F19" s="37">
        <f t="shared" si="1"/>
        <v>-0.11366747919122275</v>
      </c>
      <c r="G19" s="37">
        <f t="shared" si="2"/>
        <v>-3.3213339595611374E-2</v>
      </c>
      <c r="H19" s="37">
        <f t="shared" si="3"/>
        <v>0.12769493959561137</v>
      </c>
      <c r="I19" s="37">
        <f t="shared" si="4"/>
        <v>0.20814907919122275</v>
      </c>
      <c r="K19" s="37">
        <f t="shared" si="0"/>
        <v>4.9166666666666664E-2</v>
      </c>
      <c r="L19" s="34">
        <v>0.06</v>
      </c>
      <c r="M19" s="27">
        <f t="shared" si="5"/>
        <v>4.9740800000000002E-2</v>
      </c>
      <c r="N19" s="37">
        <f t="shared" si="6"/>
        <v>5.2240799999999997E-2</v>
      </c>
      <c r="P19" s="37">
        <f>IF('Cap Pricer'!$G$27=DataValidation!$B$2,'Vols - Forward Curve'!I19,IF('Cap Pricer'!$G$27=DataValidation!$B$3,'Vols - Forward Curve'!H19,IF('Cap Pricer'!$G$27=DataValidation!$B$4,'Vols - Forward Curve'!D19,IF('Cap Pricer'!$G$27=DataValidation!$B$5,'Vols - Forward Curve'!G19,IF('Cap Pricer'!$G$27=DataValidation!$B$6,'Vols - Forward Curve'!F19,IF('Cap Pricer'!$G$27=DataValidation!$B$8,'Vols - Forward Curve'!K19,IF('Cap Pricer'!$G$27=DataValidation!$B$9,'Vols - Forward Curve'!L19,IF('Cap Pricer'!$G$27=DataValidation!$B$10,'Vols - Forward Curve'!M19,IF('Cap Pricer'!$G$27=DataValidation!$B$11,'Vols - Forward Curve'!N19,"")))))))))</f>
        <v>4.7240799999999999E-2</v>
      </c>
      <c r="S19" s="176">
        <f t="shared" si="7"/>
        <v>45713</v>
      </c>
      <c r="T19" s="172">
        <v>4.9166666666666664E-2</v>
      </c>
    </row>
    <row r="20" spans="1:20" x14ac:dyDescent="0.25">
      <c r="A20" s="33">
        <f>Volatilities_Resets!C22</f>
        <v>45741</v>
      </c>
      <c r="B20" s="130">
        <f>Volatilities_Resets!AC22/100</f>
        <v>1.3969</v>
      </c>
      <c r="C20" s="37"/>
      <c r="D20" s="130">
        <f>Volatilities_Resets!E22/100</f>
        <v>4.2025499999999993E-2</v>
      </c>
      <c r="E20" s="34"/>
      <c r="F20" s="37">
        <f t="shared" si="1"/>
        <v>-0.10270185161742479</v>
      </c>
      <c r="G20" s="37">
        <f t="shared" si="2"/>
        <v>-3.0338175808712398E-2</v>
      </c>
      <c r="H20" s="37">
        <f t="shared" si="3"/>
        <v>0.11438917580871238</v>
      </c>
      <c r="I20" s="37">
        <f t="shared" si="4"/>
        <v>0.18675285161742478</v>
      </c>
      <c r="K20" s="37">
        <f t="shared" si="0"/>
        <v>4.8125000000000001E-2</v>
      </c>
      <c r="L20" s="34">
        <v>0.06</v>
      </c>
      <c r="M20" s="27">
        <f t="shared" si="5"/>
        <v>4.4525499999999996E-2</v>
      </c>
      <c r="N20" s="37">
        <f t="shared" si="6"/>
        <v>4.7025499999999991E-2</v>
      </c>
      <c r="P20" s="37">
        <f>IF('Cap Pricer'!$G$27=DataValidation!$B$2,'Vols - Forward Curve'!I20,IF('Cap Pricer'!$G$27=DataValidation!$B$3,'Vols - Forward Curve'!H20,IF('Cap Pricer'!$G$27=DataValidation!$B$4,'Vols - Forward Curve'!D20,IF('Cap Pricer'!$G$27=DataValidation!$B$5,'Vols - Forward Curve'!G20,IF('Cap Pricer'!$G$27=DataValidation!$B$6,'Vols - Forward Curve'!F20,IF('Cap Pricer'!$G$27=DataValidation!$B$8,'Vols - Forward Curve'!K20,IF('Cap Pricer'!$G$27=DataValidation!$B$9,'Vols - Forward Curve'!L20,IF('Cap Pricer'!$G$27=DataValidation!$B$10,'Vols - Forward Curve'!M20,IF('Cap Pricer'!$G$27=DataValidation!$B$11,'Vols - Forward Curve'!N20,"")))))))))</f>
        <v>4.2025499999999993E-2</v>
      </c>
      <c r="S20" s="199">
        <f t="shared" si="7"/>
        <v>45741</v>
      </c>
      <c r="T20" s="198">
        <v>4.8125000000000001E-2</v>
      </c>
    </row>
    <row r="21" spans="1:20" x14ac:dyDescent="0.25">
      <c r="A21" s="33">
        <f>Volatilities_Resets!C23</f>
        <v>45772</v>
      </c>
      <c r="B21" s="130">
        <f>Volatilities_Resets!AC23/100</f>
        <v>1.3965000000000001</v>
      </c>
      <c r="C21" s="37"/>
      <c r="D21" s="130">
        <f>Volatilities_Resets!E23/100</f>
        <v>4.1688099999999999E-2</v>
      </c>
      <c r="E21" s="34"/>
      <c r="F21" s="37">
        <f t="shared" si="1"/>
        <v>-0.10584711926416079</v>
      </c>
      <c r="G21" s="37">
        <f t="shared" si="2"/>
        <v>-3.2079509632080394E-2</v>
      </c>
      <c r="H21" s="37">
        <f t="shared" si="3"/>
        <v>0.11545570963208041</v>
      </c>
      <c r="I21" s="37">
        <f t="shared" si="4"/>
        <v>0.18922331926416081</v>
      </c>
      <c r="K21" s="37">
        <f t="shared" si="0"/>
        <v>4.7083333333333338E-2</v>
      </c>
      <c r="L21" s="34">
        <v>0.06</v>
      </c>
      <c r="M21" s="27">
        <f t="shared" si="5"/>
        <v>4.4188100000000001E-2</v>
      </c>
      <c r="N21" s="37">
        <f t="shared" si="6"/>
        <v>4.6688099999999996E-2</v>
      </c>
      <c r="P21" s="37">
        <f>IF('Cap Pricer'!$G$27=DataValidation!$B$2,'Vols - Forward Curve'!I21,IF('Cap Pricer'!$G$27=DataValidation!$B$3,'Vols - Forward Curve'!H21,IF('Cap Pricer'!$G$27=DataValidation!$B$4,'Vols - Forward Curve'!D21,IF('Cap Pricer'!$G$27=DataValidation!$B$5,'Vols - Forward Curve'!G21,IF('Cap Pricer'!$G$27=DataValidation!$B$6,'Vols - Forward Curve'!F21,IF('Cap Pricer'!$G$27=DataValidation!$B$8,'Vols - Forward Curve'!K21,IF('Cap Pricer'!$G$27=DataValidation!$B$9,'Vols - Forward Curve'!L21,IF('Cap Pricer'!$G$27=DataValidation!$B$10,'Vols - Forward Curve'!M21,IF('Cap Pricer'!$G$27=DataValidation!$B$11,'Vols - Forward Curve'!N21,"")))))))))</f>
        <v>4.1688099999999999E-2</v>
      </c>
      <c r="S21" s="176">
        <f t="shared" si="7"/>
        <v>45772</v>
      </c>
      <c r="T21" s="172">
        <v>4.7083333333333338E-2</v>
      </c>
    </row>
    <row r="22" spans="1:20" x14ac:dyDescent="0.25">
      <c r="A22" s="33">
        <f>Volatilities_Resets!C24</f>
        <v>45802</v>
      </c>
      <c r="B22" s="130">
        <f>Volatilities_Resets!AC24/100</f>
        <v>1.3962999999999999</v>
      </c>
      <c r="C22" s="37"/>
      <c r="D22" s="130">
        <f>Volatilities_Resets!E24/100</f>
        <v>4.16833E-2</v>
      </c>
      <c r="E22" s="34"/>
      <c r="F22" s="37">
        <f t="shared" si="1"/>
        <v>-0.10959316484083403</v>
      </c>
      <c r="G22" s="37">
        <f t="shared" si="2"/>
        <v>-3.3954932420417014E-2</v>
      </c>
      <c r="H22" s="37">
        <f t="shared" si="3"/>
        <v>0.11732153242041703</v>
      </c>
      <c r="I22" s="37">
        <f t="shared" si="4"/>
        <v>0.19295976484083405</v>
      </c>
      <c r="K22" s="37">
        <f t="shared" si="0"/>
        <v>4.6041666666666675E-2</v>
      </c>
      <c r="L22" s="34">
        <v>0.06</v>
      </c>
      <c r="M22" s="27">
        <f t="shared" si="5"/>
        <v>4.4183300000000002E-2</v>
      </c>
      <c r="N22" s="37">
        <f t="shared" si="6"/>
        <v>4.6683299999999997E-2</v>
      </c>
      <c r="P22" s="37">
        <f>IF('Cap Pricer'!$G$27=DataValidation!$B$2,'Vols - Forward Curve'!I22,IF('Cap Pricer'!$G$27=DataValidation!$B$3,'Vols - Forward Curve'!H22,IF('Cap Pricer'!$G$27=DataValidation!$B$4,'Vols - Forward Curve'!D22,IF('Cap Pricer'!$G$27=DataValidation!$B$5,'Vols - Forward Curve'!G22,IF('Cap Pricer'!$G$27=DataValidation!$B$6,'Vols - Forward Curve'!F22,IF('Cap Pricer'!$G$27=DataValidation!$B$8,'Vols - Forward Curve'!K22,IF('Cap Pricer'!$G$27=DataValidation!$B$9,'Vols - Forward Curve'!L22,IF('Cap Pricer'!$G$27=DataValidation!$B$10,'Vols - Forward Curve'!M22,IF('Cap Pricer'!$G$27=DataValidation!$B$11,'Vols - Forward Curve'!N22,"")))))))))</f>
        <v>4.16833E-2</v>
      </c>
      <c r="S22" s="176">
        <f t="shared" si="7"/>
        <v>45802</v>
      </c>
      <c r="T22" s="172">
        <v>4.6041666666666675E-2</v>
      </c>
    </row>
    <row r="23" spans="1:20" x14ac:dyDescent="0.25">
      <c r="A23" s="33">
        <f>Volatilities_Resets!C25</f>
        <v>45833</v>
      </c>
      <c r="B23" s="130">
        <f>Volatilities_Resets!AC25/100</f>
        <v>1.3959000000000001</v>
      </c>
      <c r="C23" s="37"/>
      <c r="D23" s="130">
        <f>Volatilities_Resets!E25/100</f>
        <v>4.16809E-2</v>
      </c>
      <c r="E23" s="34"/>
      <c r="F23" s="37">
        <f t="shared" si="1"/>
        <v>-0.11335082150672744</v>
      </c>
      <c r="G23" s="37">
        <f t="shared" si="2"/>
        <v>-3.5834960753363725E-2</v>
      </c>
      <c r="H23" s="37">
        <f>$D23*(1+(SQRT(YEARFRAC($A$2,$A23,2))*(1*$B23)))</f>
        <v>0.11919676075336372</v>
      </c>
      <c r="I23" s="37">
        <f t="shared" si="4"/>
        <v>0.19671262150672744</v>
      </c>
      <c r="K23" s="37">
        <f t="shared" si="0"/>
        <v>4.5000000000000012E-2</v>
      </c>
      <c r="L23" s="34">
        <v>0.06</v>
      </c>
      <c r="M23" s="27">
        <f t="shared" si="5"/>
        <v>4.4180900000000002E-2</v>
      </c>
      <c r="N23" s="37">
        <f t="shared" si="6"/>
        <v>4.6680899999999997E-2</v>
      </c>
      <c r="P23" s="37">
        <f>IF('Cap Pricer'!$G$27=DataValidation!$B$2,'Vols - Forward Curve'!I23,IF('Cap Pricer'!$G$27=DataValidation!$B$3,'Vols - Forward Curve'!H23,IF('Cap Pricer'!$G$27=DataValidation!$B$4,'Vols - Forward Curve'!D23,IF('Cap Pricer'!$G$27=DataValidation!$B$5,'Vols - Forward Curve'!G23,IF('Cap Pricer'!$G$27=DataValidation!$B$6,'Vols - Forward Curve'!F23,IF('Cap Pricer'!$G$27=DataValidation!$B$8,'Vols - Forward Curve'!K23,IF('Cap Pricer'!$G$27=DataValidation!$B$9,'Vols - Forward Curve'!L23,IF('Cap Pricer'!$G$27=DataValidation!$B$10,'Vols - Forward Curve'!M23,IF('Cap Pricer'!$G$27=DataValidation!$B$11,'Vols - Forward Curve'!N23,"")))))))))</f>
        <v>4.16809E-2</v>
      </c>
      <c r="S23" s="176">
        <f t="shared" si="7"/>
        <v>45833</v>
      </c>
      <c r="T23" s="172">
        <v>4.5000000000000012E-2</v>
      </c>
    </row>
    <row r="24" spans="1:20" x14ac:dyDescent="0.25">
      <c r="A24" s="33">
        <f>Volatilities_Resets!C26</f>
        <v>45863</v>
      </c>
      <c r="B24" s="130">
        <f>Volatilities_Resets!AC26/100</f>
        <v>1.3915999999999999</v>
      </c>
      <c r="C24" s="37"/>
      <c r="D24" s="130">
        <f>Volatilities_Resets!E26/100</f>
        <v>4.1685699999999999E-2</v>
      </c>
      <c r="E24" s="34"/>
      <c r="F24" s="37">
        <f t="shared" si="1"/>
        <v>-0.11647308607369145</v>
      </c>
      <c r="G24" s="37">
        <f t="shared" si="2"/>
        <v>-3.7393693036845727E-2</v>
      </c>
      <c r="H24" s="37">
        <f t="shared" si="3"/>
        <v>0.12076509303684572</v>
      </c>
      <c r="I24" s="37">
        <f t="shared" si="4"/>
        <v>0.19984448607369146</v>
      </c>
      <c r="K24" s="37">
        <f t="shared" si="0"/>
        <v>4.3958333333333349E-2</v>
      </c>
      <c r="L24" s="34">
        <v>0.06</v>
      </c>
      <c r="M24" s="27">
        <f t="shared" si="5"/>
        <v>4.4185700000000001E-2</v>
      </c>
      <c r="N24" s="37">
        <f t="shared" si="6"/>
        <v>4.6685699999999997E-2</v>
      </c>
      <c r="P24" s="37">
        <f>IF('Cap Pricer'!$G$27=DataValidation!$B$2,'Vols - Forward Curve'!I24,IF('Cap Pricer'!$G$27=DataValidation!$B$3,'Vols - Forward Curve'!H24,IF('Cap Pricer'!$G$27=DataValidation!$B$4,'Vols - Forward Curve'!D24,IF('Cap Pricer'!$G$27=DataValidation!$B$5,'Vols - Forward Curve'!G24,IF('Cap Pricer'!$G$27=DataValidation!$B$6,'Vols - Forward Curve'!F24,IF('Cap Pricer'!$G$27=DataValidation!$B$8,'Vols - Forward Curve'!K24,IF('Cap Pricer'!$G$27=DataValidation!$B$9,'Vols - Forward Curve'!L24,IF('Cap Pricer'!$G$27=DataValidation!$B$10,'Vols - Forward Curve'!M24,IF('Cap Pricer'!$G$27=DataValidation!$B$11,'Vols - Forward Curve'!N24,"")))))))))</f>
        <v>4.1685699999999999E-2</v>
      </c>
      <c r="S24" s="176">
        <f t="shared" si="7"/>
        <v>45863</v>
      </c>
      <c r="T24" s="172">
        <v>4.3958333333333349E-2</v>
      </c>
    </row>
    <row r="25" spans="1:20" x14ac:dyDescent="0.25">
      <c r="A25" s="33">
        <f>Volatilities_Resets!C27</f>
        <v>45894</v>
      </c>
      <c r="B25" s="130">
        <f>Volatilities_Resets!AC27/100</f>
        <v>1.3811000000000002</v>
      </c>
      <c r="C25" s="37"/>
      <c r="D25" s="130">
        <f>Volatilities_Resets!E27/100</f>
        <v>4.16833E-2</v>
      </c>
      <c r="E25" s="34"/>
      <c r="F25" s="37">
        <f t="shared" si="1"/>
        <v>-0.11886842815310281</v>
      </c>
      <c r="G25" s="37">
        <f t="shared" si="2"/>
        <v>-3.8592564076551407E-2</v>
      </c>
      <c r="H25" s="37">
        <f t="shared" si="3"/>
        <v>0.1219591640765514</v>
      </c>
      <c r="I25" s="37">
        <f t="shared" si="4"/>
        <v>0.20223502815310282</v>
      </c>
      <c r="K25" s="37">
        <f t="shared" si="0"/>
        <v>4.2916666666666686E-2</v>
      </c>
      <c r="L25" s="34">
        <v>0.06</v>
      </c>
      <c r="M25" s="27">
        <f t="shared" si="5"/>
        <v>4.4183300000000002E-2</v>
      </c>
      <c r="N25" s="37">
        <f t="shared" si="6"/>
        <v>4.6683299999999997E-2</v>
      </c>
      <c r="P25" s="37">
        <f>IF('Cap Pricer'!$G$27=DataValidation!$B$2,'Vols - Forward Curve'!I25,IF('Cap Pricer'!$G$27=DataValidation!$B$3,'Vols - Forward Curve'!H25,IF('Cap Pricer'!$G$27=DataValidation!$B$4,'Vols - Forward Curve'!D25,IF('Cap Pricer'!$G$27=DataValidation!$B$5,'Vols - Forward Curve'!G25,IF('Cap Pricer'!$G$27=DataValidation!$B$6,'Vols - Forward Curve'!F25,IF('Cap Pricer'!$G$27=DataValidation!$B$8,'Vols - Forward Curve'!K25,IF('Cap Pricer'!$G$27=DataValidation!$B$9,'Vols - Forward Curve'!L25,IF('Cap Pricer'!$G$27=DataValidation!$B$10,'Vols - Forward Curve'!M25,IF('Cap Pricer'!$G$27=DataValidation!$B$11,'Vols - Forward Curve'!N25,"")))))))))</f>
        <v>4.16833E-2</v>
      </c>
      <c r="S25" s="176">
        <f t="shared" si="7"/>
        <v>45894</v>
      </c>
      <c r="T25" s="172">
        <v>4.2916666666666686E-2</v>
      </c>
    </row>
    <row r="26" spans="1:20" x14ac:dyDescent="0.25">
      <c r="A26" s="33">
        <f>Volatilities_Resets!C28</f>
        <v>45925</v>
      </c>
      <c r="B26" s="130">
        <f>Volatilities_Resets!AC28/100</f>
        <v>1.3712</v>
      </c>
      <c r="C26" s="37"/>
      <c r="D26" s="130">
        <f>Volatilities_Resets!E28/100</f>
        <v>3.9167199999999999E-2</v>
      </c>
      <c r="E26" s="34"/>
      <c r="F26" s="37">
        <f t="shared" si="1"/>
        <v>-0.11389246694701095</v>
      </c>
      <c r="G26" s="37">
        <f t="shared" si="2"/>
        <v>-3.7362633473505477E-2</v>
      </c>
      <c r="H26" s="37">
        <f t="shared" si="3"/>
        <v>0.11569703347350548</v>
      </c>
      <c r="I26" s="37">
        <f t="shared" si="4"/>
        <v>0.19222686694701094</v>
      </c>
      <c r="K26" s="37">
        <f t="shared" si="0"/>
        <v>4.1875000000000023E-2</v>
      </c>
      <c r="L26" s="34">
        <v>0.06</v>
      </c>
      <c r="M26" s="27">
        <f t="shared" si="5"/>
        <v>4.1667200000000001E-2</v>
      </c>
      <c r="N26" s="37">
        <f t="shared" si="6"/>
        <v>4.4167199999999997E-2</v>
      </c>
      <c r="P26" s="37">
        <f>IF('Cap Pricer'!$G$27=DataValidation!$B$2,'Vols - Forward Curve'!I26,IF('Cap Pricer'!$G$27=DataValidation!$B$3,'Vols - Forward Curve'!H26,IF('Cap Pricer'!$G$27=DataValidation!$B$4,'Vols - Forward Curve'!D26,IF('Cap Pricer'!$G$27=DataValidation!$B$5,'Vols - Forward Curve'!G26,IF('Cap Pricer'!$G$27=DataValidation!$B$6,'Vols - Forward Curve'!F26,IF('Cap Pricer'!$G$27=DataValidation!$B$8,'Vols - Forward Curve'!K26,IF('Cap Pricer'!$G$27=DataValidation!$B$9,'Vols - Forward Curve'!L26,IF('Cap Pricer'!$G$27=DataValidation!$B$10,'Vols - Forward Curve'!M26,IF('Cap Pricer'!$G$27=DataValidation!$B$11,'Vols - Forward Curve'!N26,"")))))))))</f>
        <v>3.9167199999999999E-2</v>
      </c>
      <c r="S26" s="176">
        <f t="shared" si="7"/>
        <v>45925</v>
      </c>
      <c r="T26" s="172">
        <v>4.1875000000000023E-2</v>
      </c>
    </row>
    <row r="27" spans="1:20" x14ac:dyDescent="0.25">
      <c r="A27" s="33">
        <f>Volatilities_Resets!C29</f>
        <v>45955</v>
      </c>
      <c r="B27" s="130">
        <f>Volatilities_Resets!AC29/100</f>
        <v>1.3712</v>
      </c>
      <c r="C27" s="37"/>
      <c r="D27" s="130">
        <f>Volatilities_Resets!E29/100</f>
        <v>3.8540899999999996E-2</v>
      </c>
      <c r="E27" s="34"/>
      <c r="F27" s="37">
        <f t="shared" si="1"/>
        <v>-0.11513074145555399</v>
      </c>
      <c r="G27" s="37">
        <f t="shared" si="2"/>
        <v>-3.8294920727777002E-2</v>
      </c>
      <c r="H27" s="37">
        <f t="shared" si="3"/>
        <v>0.11537672072777698</v>
      </c>
      <c r="I27" s="37">
        <f t="shared" si="4"/>
        <v>0.19221254145555397</v>
      </c>
      <c r="K27" s="37">
        <f t="shared" si="0"/>
        <v>4.083333333333336E-2</v>
      </c>
      <c r="L27" s="34">
        <v>0.06</v>
      </c>
      <c r="M27" s="27">
        <f t="shared" si="5"/>
        <v>4.1040899999999998E-2</v>
      </c>
      <c r="N27" s="37">
        <f t="shared" si="6"/>
        <v>4.3540899999999993E-2</v>
      </c>
      <c r="P27" s="37">
        <f>IF('Cap Pricer'!$G$27=DataValidation!$B$2,'Vols - Forward Curve'!I27,IF('Cap Pricer'!$G$27=DataValidation!$B$3,'Vols - Forward Curve'!H27,IF('Cap Pricer'!$G$27=DataValidation!$B$4,'Vols - Forward Curve'!D27,IF('Cap Pricer'!$G$27=DataValidation!$B$5,'Vols - Forward Curve'!G27,IF('Cap Pricer'!$G$27=DataValidation!$B$6,'Vols - Forward Curve'!F27,IF('Cap Pricer'!$G$27=DataValidation!$B$8,'Vols - Forward Curve'!K27,IF('Cap Pricer'!$G$27=DataValidation!$B$9,'Vols - Forward Curve'!L27,IF('Cap Pricer'!$G$27=DataValidation!$B$10,'Vols - Forward Curve'!M27,IF('Cap Pricer'!$G$27=DataValidation!$B$11,'Vols - Forward Curve'!N27,"")))))))))</f>
        <v>3.8540899999999996E-2</v>
      </c>
      <c r="S27" s="176">
        <f t="shared" si="7"/>
        <v>45955</v>
      </c>
      <c r="T27" s="172">
        <v>4.083333333333336E-2</v>
      </c>
    </row>
    <row r="28" spans="1:20" x14ac:dyDescent="0.25">
      <c r="A28" s="33">
        <f>Volatilities_Resets!C30</f>
        <v>45986</v>
      </c>
      <c r="B28" s="130">
        <f>Volatilities_Resets!AC30/100</f>
        <v>1.3711000000000002</v>
      </c>
      <c r="C28" s="37"/>
      <c r="D28" s="130">
        <f>Volatilities_Resets!E30/100</f>
        <v>3.8538800000000005E-2</v>
      </c>
      <c r="E28" s="34"/>
      <c r="F28" s="37">
        <f t="shared" si="1"/>
        <v>-0.11821159887116835</v>
      </c>
      <c r="G28" s="37">
        <f t="shared" si="2"/>
        <v>-3.9836399435584174E-2</v>
      </c>
      <c r="H28" s="37">
        <f t="shared" si="3"/>
        <v>0.11691399943558418</v>
      </c>
      <c r="I28" s="37">
        <f t="shared" si="4"/>
        <v>0.19528919887116836</v>
      </c>
      <c r="K28" s="37">
        <f t="shared" si="0"/>
        <v>3.9791666666666697E-2</v>
      </c>
      <c r="L28" s="34">
        <v>0.06</v>
      </c>
      <c r="M28" s="27">
        <f t="shared" si="5"/>
        <v>4.1038800000000007E-2</v>
      </c>
      <c r="N28" s="37">
        <f t="shared" si="6"/>
        <v>4.3538800000000002E-2</v>
      </c>
      <c r="P28" s="37">
        <f>IF('Cap Pricer'!$G$27=DataValidation!$B$2,'Vols - Forward Curve'!I28,IF('Cap Pricer'!$G$27=DataValidation!$B$3,'Vols - Forward Curve'!H28,IF('Cap Pricer'!$G$27=DataValidation!$B$4,'Vols - Forward Curve'!D28,IF('Cap Pricer'!$G$27=DataValidation!$B$5,'Vols - Forward Curve'!G28,IF('Cap Pricer'!$G$27=DataValidation!$B$6,'Vols - Forward Curve'!F28,IF('Cap Pricer'!$G$27=DataValidation!$B$8,'Vols - Forward Curve'!K28,IF('Cap Pricer'!$G$27=DataValidation!$B$9,'Vols - Forward Curve'!L28,IF('Cap Pricer'!$G$27=DataValidation!$B$10,'Vols - Forward Curve'!M28,IF('Cap Pricer'!$G$27=DataValidation!$B$11,'Vols - Forward Curve'!N28,"")))))))))</f>
        <v>3.8538800000000005E-2</v>
      </c>
      <c r="S28" s="176">
        <f t="shared" si="7"/>
        <v>45986</v>
      </c>
      <c r="T28" s="172">
        <v>3.9791666666666697E-2</v>
      </c>
    </row>
    <row r="29" spans="1:20" x14ac:dyDescent="0.25">
      <c r="A29" s="33">
        <f>Volatilities_Resets!C31</f>
        <v>46016</v>
      </c>
      <c r="B29" s="130">
        <f>Volatilities_Resets!AC31/100</f>
        <v>1.3711000000000002</v>
      </c>
      <c r="C29" s="37"/>
      <c r="D29" s="130">
        <f>Volatilities_Resets!E31/100</f>
        <v>3.8544999999999996E-2</v>
      </c>
      <c r="E29" s="34"/>
      <c r="F29" s="37">
        <f t="shared" si="1"/>
        <v>-0.12117225403105801</v>
      </c>
      <c r="G29" s="37">
        <f t="shared" si="2"/>
        <v>-4.1313627015529007E-2</v>
      </c>
      <c r="H29" s="37">
        <f t="shared" si="3"/>
        <v>0.11840362701552899</v>
      </c>
      <c r="I29" s="37">
        <f t="shared" si="4"/>
        <v>0.19826225403105799</v>
      </c>
      <c r="K29" s="37">
        <f t="shared" si="0"/>
        <v>3.875E-2</v>
      </c>
      <c r="L29" s="34">
        <v>0.06</v>
      </c>
      <c r="M29" s="27">
        <f t="shared" si="5"/>
        <v>4.1044999999999998E-2</v>
      </c>
      <c r="N29" s="37">
        <f t="shared" si="6"/>
        <v>4.3544999999999993E-2</v>
      </c>
      <c r="P29" s="37">
        <f>IF('Cap Pricer'!$G$27=DataValidation!$B$2,'Vols - Forward Curve'!I29,IF('Cap Pricer'!$G$27=DataValidation!$B$3,'Vols - Forward Curve'!H29,IF('Cap Pricer'!$G$27=DataValidation!$B$4,'Vols - Forward Curve'!D29,IF('Cap Pricer'!$G$27=DataValidation!$B$5,'Vols - Forward Curve'!G29,IF('Cap Pricer'!$G$27=DataValidation!$B$6,'Vols - Forward Curve'!F29,IF('Cap Pricer'!$G$27=DataValidation!$B$8,'Vols - Forward Curve'!K29,IF('Cap Pricer'!$G$27=DataValidation!$B$9,'Vols - Forward Curve'!L29,IF('Cap Pricer'!$G$27=DataValidation!$B$10,'Vols - Forward Curve'!M29,IF('Cap Pricer'!$G$27=DataValidation!$B$11,'Vols - Forward Curve'!N29,"")))))))))</f>
        <v>3.8544999999999996E-2</v>
      </c>
      <c r="S29" s="176">
        <f t="shared" si="7"/>
        <v>46016</v>
      </c>
      <c r="T29" s="172">
        <v>3.875E-2</v>
      </c>
    </row>
    <row r="30" spans="1:20" x14ac:dyDescent="0.25">
      <c r="A30" s="33">
        <f>Volatilities_Resets!C32</f>
        <v>46047</v>
      </c>
      <c r="B30" s="130">
        <f>Volatilities_Resets!AC32/100</f>
        <v>1.3711000000000002</v>
      </c>
      <c r="C30" s="37"/>
      <c r="D30" s="130">
        <f>Volatilities_Resets!E32/100</f>
        <v>3.8540899999999996E-2</v>
      </c>
      <c r="E30" s="34"/>
      <c r="F30" s="37">
        <f t="shared" si="1"/>
        <v>-0.12414287584611371</v>
      </c>
      <c r="G30" s="37">
        <f t="shared" si="2"/>
        <v>-4.2800987923056859E-2</v>
      </c>
      <c r="H30" s="37">
        <f t="shared" si="3"/>
        <v>0.11988278792305684</v>
      </c>
      <c r="I30" s="37">
        <f t="shared" si="4"/>
        <v>0.2012246758461137</v>
      </c>
      <c r="K30" s="37">
        <f t="shared" si="0"/>
        <v>3.7916666666666668E-2</v>
      </c>
      <c r="L30" s="34">
        <v>0.06</v>
      </c>
      <c r="M30" s="27">
        <f t="shared" si="5"/>
        <v>4.1040899999999998E-2</v>
      </c>
      <c r="N30" s="37">
        <f t="shared" si="6"/>
        <v>4.3540899999999993E-2</v>
      </c>
      <c r="P30" s="37">
        <f>IF('Cap Pricer'!$G$27=DataValidation!$B$2,'Vols - Forward Curve'!I30,IF('Cap Pricer'!$G$27=DataValidation!$B$3,'Vols - Forward Curve'!H30,IF('Cap Pricer'!$G$27=DataValidation!$B$4,'Vols - Forward Curve'!D30,IF('Cap Pricer'!$G$27=DataValidation!$B$5,'Vols - Forward Curve'!G30,IF('Cap Pricer'!$G$27=DataValidation!$B$6,'Vols - Forward Curve'!F30,IF('Cap Pricer'!$G$27=DataValidation!$B$8,'Vols - Forward Curve'!K30,IF('Cap Pricer'!$G$27=DataValidation!$B$9,'Vols - Forward Curve'!L30,IF('Cap Pricer'!$G$27=DataValidation!$B$10,'Vols - Forward Curve'!M30,IF('Cap Pricer'!$G$27=DataValidation!$B$11,'Vols - Forward Curve'!N30,"")))))))))</f>
        <v>3.8540899999999996E-2</v>
      </c>
      <c r="S30" s="176">
        <f t="shared" si="7"/>
        <v>46047</v>
      </c>
      <c r="T30" s="172">
        <v>3.7916666666666668E-2</v>
      </c>
    </row>
    <row r="31" spans="1:20" x14ac:dyDescent="0.25">
      <c r="A31" s="33">
        <f>Volatilities_Resets!C33</f>
        <v>46078</v>
      </c>
      <c r="B31" s="130">
        <f>Volatilities_Resets!AC33/100</f>
        <v>1.3712</v>
      </c>
      <c r="C31" s="37"/>
      <c r="D31" s="130">
        <f>Volatilities_Resets!E33/100</f>
        <v>3.8534700000000005E-2</v>
      </c>
      <c r="E31" s="34"/>
      <c r="F31" s="37">
        <f t="shared" si="1"/>
        <v>-0.12706428274437567</v>
      </c>
      <c r="G31" s="37">
        <f t="shared" si="2"/>
        <v>-4.4264791372187827E-2</v>
      </c>
      <c r="H31" s="37">
        <f t="shared" si="3"/>
        <v>0.12133419137218784</v>
      </c>
      <c r="I31" s="37">
        <f t="shared" si="4"/>
        <v>0.20413368274437568</v>
      </c>
      <c r="K31" s="37">
        <f t="shared" si="0"/>
        <v>3.7083333333333336E-2</v>
      </c>
      <c r="L31" s="34">
        <v>0.06</v>
      </c>
      <c r="M31" s="27">
        <f t="shared" si="5"/>
        <v>4.1034700000000007E-2</v>
      </c>
      <c r="N31" s="37">
        <f t="shared" si="6"/>
        <v>4.3534700000000003E-2</v>
      </c>
      <c r="P31" s="37">
        <f>IF('Cap Pricer'!$G$27=DataValidation!$B$2,'Vols - Forward Curve'!I31,IF('Cap Pricer'!$G$27=DataValidation!$B$3,'Vols - Forward Curve'!H31,IF('Cap Pricer'!$G$27=DataValidation!$B$4,'Vols - Forward Curve'!D31,IF('Cap Pricer'!$G$27=DataValidation!$B$5,'Vols - Forward Curve'!G31,IF('Cap Pricer'!$G$27=DataValidation!$B$6,'Vols - Forward Curve'!F31,IF('Cap Pricer'!$G$27=DataValidation!$B$8,'Vols - Forward Curve'!K31,IF('Cap Pricer'!$G$27=DataValidation!$B$9,'Vols - Forward Curve'!L31,IF('Cap Pricer'!$G$27=DataValidation!$B$10,'Vols - Forward Curve'!M31,IF('Cap Pricer'!$G$27=DataValidation!$B$11,'Vols - Forward Curve'!N31,"")))))))))</f>
        <v>3.8534700000000005E-2</v>
      </c>
      <c r="S31" s="176">
        <f t="shared" si="7"/>
        <v>46078</v>
      </c>
      <c r="T31" s="172">
        <v>3.7083333333333336E-2</v>
      </c>
    </row>
    <row r="32" spans="1:20" x14ac:dyDescent="0.25">
      <c r="A32" s="33">
        <f>Volatilities_Resets!C34</f>
        <v>46106</v>
      </c>
      <c r="B32" s="130">
        <f>Volatilities_Resets!AC34/100</f>
        <v>1.3711000000000002</v>
      </c>
      <c r="C32" s="37"/>
      <c r="D32" s="130">
        <f>Volatilities_Resets!E34/100</f>
        <v>3.8544999999999996E-2</v>
      </c>
      <c r="E32" s="34"/>
      <c r="F32" s="37">
        <f t="shared" si="1"/>
        <v>-0.12968883508757972</v>
      </c>
      <c r="G32" s="37">
        <f t="shared" si="2"/>
        <v>-4.5571917543789857E-2</v>
      </c>
      <c r="H32" s="37">
        <f t="shared" si="3"/>
        <v>0.12266191754378986</v>
      </c>
      <c r="I32" s="37">
        <f t="shared" si="4"/>
        <v>0.20677883508757972</v>
      </c>
      <c r="K32" s="37">
        <f t="shared" si="0"/>
        <v>3.6250000000000004E-2</v>
      </c>
      <c r="L32" s="34">
        <v>0.06</v>
      </c>
      <c r="M32" s="27">
        <f t="shared" si="5"/>
        <v>4.1044999999999998E-2</v>
      </c>
      <c r="N32" s="37">
        <f t="shared" si="6"/>
        <v>4.3544999999999993E-2</v>
      </c>
      <c r="P32" s="37">
        <f>IF('Cap Pricer'!$G$27=DataValidation!$B$2,'Vols - Forward Curve'!I32,IF('Cap Pricer'!$G$27=DataValidation!$B$3,'Vols - Forward Curve'!H32,IF('Cap Pricer'!$G$27=DataValidation!$B$4,'Vols - Forward Curve'!D32,IF('Cap Pricer'!$G$27=DataValidation!$B$5,'Vols - Forward Curve'!G32,IF('Cap Pricer'!$G$27=DataValidation!$B$6,'Vols - Forward Curve'!F32,IF('Cap Pricer'!$G$27=DataValidation!$B$8,'Vols - Forward Curve'!K32,IF('Cap Pricer'!$G$27=DataValidation!$B$9,'Vols - Forward Curve'!L32,IF('Cap Pricer'!$G$27=DataValidation!$B$10,'Vols - Forward Curve'!M32,IF('Cap Pricer'!$G$27=DataValidation!$B$11,'Vols - Forward Curve'!N32,"")))))))))</f>
        <v>3.8544999999999996E-2</v>
      </c>
      <c r="S32" s="199">
        <f t="shared" si="7"/>
        <v>46106</v>
      </c>
      <c r="T32" s="198">
        <v>3.6250000000000004E-2</v>
      </c>
    </row>
    <row r="33" spans="1:20" x14ac:dyDescent="0.25">
      <c r="A33" s="33">
        <f>Volatilities_Resets!C35</f>
        <v>46137</v>
      </c>
      <c r="B33" s="130">
        <f>Volatilities_Resets!AC35/100</f>
        <v>1.3712</v>
      </c>
      <c r="C33" s="37"/>
      <c r="D33" s="130">
        <f>Volatilities_Resets!E35/100</f>
        <v>3.8542900000000005E-2</v>
      </c>
      <c r="E33" s="34"/>
      <c r="F33" s="37">
        <f t="shared" si="1"/>
        <v>-0.13252943549801263</v>
      </c>
      <c r="G33" s="37">
        <f t="shared" si="2"/>
        <v>-4.6993267749006321E-2</v>
      </c>
      <c r="H33" s="37">
        <f t="shared" si="3"/>
        <v>0.12407906774900633</v>
      </c>
      <c r="I33" s="37">
        <f t="shared" si="4"/>
        <v>0.20961523549801264</v>
      </c>
      <c r="K33" s="37">
        <f t="shared" si="0"/>
        <v>3.5416666666666673E-2</v>
      </c>
      <c r="L33" s="34">
        <v>0.06</v>
      </c>
      <c r="M33" s="27">
        <f t="shared" si="5"/>
        <v>4.1042900000000007E-2</v>
      </c>
      <c r="N33" s="37">
        <f t="shared" si="6"/>
        <v>4.3542900000000002E-2</v>
      </c>
      <c r="P33" s="37">
        <f>IF('Cap Pricer'!$G$27=DataValidation!$B$2,'Vols - Forward Curve'!I33,IF('Cap Pricer'!$G$27=DataValidation!$B$3,'Vols - Forward Curve'!H33,IF('Cap Pricer'!$G$27=DataValidation!$B$4,'Vols - Forward Curve'!D33,IF('Cap Pricer'!$G$27=DataValidation!$B$5,'Vols - Forward Curve'!G33,IF('Cap Pricer'!$G$27=DataValidation!$B$6,'Vols - Forward Curve'!F33,IF('Cap Pricer'!$G$27=DataValidation!$B$8,'Vols - Forward Curve'!K33,IF('Cap Pricer'!$G$27=DataValidation!$B$9,'Vols - Forward Curve'!L33,IF('Cap Pricer'!$G$27=DataValidation!$B$10,'Vols - Forward Curve'!M33,IF('Cap Pricer'!$G$27=DataValidation!$B$11,'Vols - Forward Curve'!N33,"")))))))))</f>
        <v>3.8542900000000005E-2</v>
      </c>
      <c r="S33" s="176">
        <f t="shared" si="7"/>
        <v>46137</v>
      </c>
      <c r="T33" s="172">
        <v>3.5416666666666673E-2</v>
      </c>
    </row>
    <row r="34" spans="1:20" x14ac:dyDescent="0.25">
      <c r="A34" s="33">
        <f>Volatilities_Resets!C36</f>
        <v>46167</v>
      </c>
      <c r="B34" s="130">
        <f>Volatilities_Resets!AC36/100</f>
        <v>1.3712</v>
      </c>
      <c r="C34" s="37"/>
      <c r="D34" s="130">
        <f>Volatilities_Resets!E36/100</f>
        <v>3.8544999999999996E-2</v>
      </c>
      <c r="E34" s="34"/>
      <c r="F34" s="37">
        <f t="shared" si="1"/>
        <v>-0.13523669145926603</v>
      </c>
      <c r="G34" s="37">
        <f t="shared" si="2"/>
        <v>-4.8345845729633026E-2</v>
      </c>
      <c r="H34" s="37">
        <f t="shared" si="3"/>
        <v>0.12543584572963301</v>
      </c>
      <c r="I34" s="37">
        <f t="shared" si="4"/>
        <v>0.21232669145926603</v>
      </c>
      <c r="K34" s="37">
        <f t="shared" ref="K34:K65" si="8">VLOOKUP(A34,$S$2:$T$134,2,FALSE)</f>
        <v>3.4583333333333341E-2</v>
      </c>
      <c r="L34" s="34">
        <v>0.06</v>
      </c>
      <c r="M34" s="27">
        <f t="shared" si="5"/>
        <v>4.1044999999999998E-2</v>
      </c>
      <c r="N34" s="37">
        <f t="shared" si="6"/>
        <v>4.3544999999999993E-2</v>
      </c>
      <c r="P34" s="37">
        <f>IF('Cap Pricer'!$G$27=DataValidation!$B$2,'Vols - Forward Curve'!I34,IF('Cap Pricer'!$G$27=DataValidation!$B$3,'Vols - Forward Curve'!H34,IF('Cap Pricer'!$G$27=DataValidation!$B$4,'Vols - Forward Curve'!D34,IF('Cap Pricer'!$G$27=DataValidation!$B$5,'Vols - Forward Curve'!G34,IF('Cap Pricer'!$G$27=DataValidation!$B$6,'Vols - Forward Curve'!F34,IF('Cap Pricer'!$G$27=DataValidation!$B$8,'Vols - Forward Curve'!K34,IF('Cap Pricer'!$G$27=DataValidation!$B$9,'Vols - Forward Curve'!L34,IF('Cap Pricer'!$G$27=DataValidation!$B$10,'Vols - Forward Curve'!M34,IF('Cap Pricer'!$G$27=DataValidation!$B$11,'Vols - Forward Curve'!N34,"")))))))))</f>
        <v>3.8544999999999996E-2</v>
      </c>
      <c r="S34" s="176">
        <f t="shared" si="7"/>
        <v>46167</v>
      </c>
      <c r="T34" s="172">
        <v>3.4583333333333341E-2</v>
      </c>
    </row>
    <row r="35" spans="1:20" x14ac:dyDescent="0.25">
      <c r="A35" s="33">
        <f>Volatilities_Resets!C37</f>
        <v>46198</v>
      </c>
      <c r="B35" s="130">
        <f>Volatilities_Resets!AC37/100</f>
        <v>1.3712</v>
      </c>
      <c r="C35" s="37"/>
      <c r="D35" s="130">
        <f>Volatilities_Resets!E37/100</f>
        <v>3.8538800000000005E-2</v>
      </c>
      <c r="E35" s="34"/>
      <c r="F35" s="37">
        <f t="shared" si="1"/>
        <v>-0.13796115295721842</v>
      </c>
      <c r="G35" s="37">
        <f t="shared" si="2"/>
        <v>-4.9711176478609211E-2</v>
      </c>
      <c r="H35" s="37">
        <f t="shared" si="3"/>
        <v>0.12678877647860923</v>
      </c>
      <c r="I35" s="37">
        <f t="shared" si="4"/>
        <v>0.21503875295721844</v>
      </c>
      <c r="K35" s="37">
        <f t="shared" si="8"/>
        <v>3.3750000000000009E-2</v>
      </c>
      <c r="L35" s="34">
        <v>0.06</v>
      </c>
      <c r="M35" s="27">
        <f t="shared" si="5"/>
        <v>4.1038800000000007E-2</v>
      </c>
      <c r="N35" s="37">
        <f t="shared" si="6"/>
        <v>4.3538800000000002E-2</v>
      </c>
      <c r="P35" s="37">
        <f>IF('Cap Pricer'!$G$27=DataValidation!$B$2,'Vols - Forward Curve'!I35,IF('Cap Pricer'!$G$27=DataValidation!$B$3,'Vols - Forward Curve'!H35,IF('Cap Pricer'!$G$27=DataValidation!$B$4,'Vols - Forward Curve'!D35,IF('Cap Pricer'!$G$27=DataValidation!$B$5,'Vols - Forward Curve'!G35,IF('Cap Pricer'!$G$27=DataValidation!$B$6,'Vols - Forward Curve'!F35,IF('Cap Pricer'!$G$27=DataValidation!$B$8,'Vols - Forward Curve'!K35,IF('Cap Pricer'!$G$27=DataValidation!$B$9,'Vols - Forward Curve'!L35,IF('Cap Pricer'!$G$27=DataValidation!$B$10,'Vols - Forward Curve'!M35,IF('Cap Pricer'!$G$27=DataValidation!$B$11,'Vols - Forward Curve'!N35,"")))))))))</f>
        <v>3.8538800000000005E-2</v>
      </c>
      <c r="S35" s="176">
        <f t="shared" si="7"/>
        <v>46198</v>
      </c>
      <c r="T35" s="172">
        <v>3.3750000000000009E-2</v>
      </c>
    </row>
    <row r="36" spans="1:20" x14ac:dyDescent="0.25">
      <c r="A36" s="33">
        <f>Volatilities_Resets!C38</f>
        <v>46228</v>
      </c>
      <c r="B36" s="130">
        <f>Volatilities_Resets!AC38/100</f>
        <v>1.3691</v>
      </c>
      <c r="C36" s="37"/>
      <c r="D36" s="130">
        <f>Volatilities_Resets!E38/100</f>
        <v>3.8540899999999996E-2</v>
      </c>
      <c r="E36" s="34"/>
      <c r="F36" s="37">
        <f t="shared" si="1"/>
        <v>-0.14031202089408695</v>
      </c>
      <c r="G36" s="37">
        <f t="shared" si="2"/>
        <v>-5.0885560447043475E-2</v>
      </c>
      <c r="H36" s="37">
        <f t="shared" si="3"/>
        <v>0.12796736044704346</v>
      </c>
      <c r="I36" s="37">
        <f t="shared" si="4"/>
        <v>0.21739382089408693</v>
      </c>
      <c r="K36" s="37">
        <f t="shared" si="8"/>
        <v>3.2916666666666677E-2</v>
      </c>
      <c r="L36" s="34">
        <v>0.06</v>
      </c>
      <c r="M36" s="27">
        <f t="shared" si="5"/>
        <v>4.1040899999999998E-2</v>
      </c>
      <c r="N36" s="37">
        <f t="shared" si="6"/>
        <v>4.3540899999999993E-2</v>
      </c>
      <c r="P36" s="37">
        <f>IF('Cap Pricer'!$G$27=DataValidation!$B$2,'Vols - Forward Curve'!I36,IF('Cap Pricer'!$G$27=DataValidation!$B$3,'Vols - Forward Curve'!H36,IF('Cap Pricer'!$G$27=DataValidation!$B$4,'Vols - Forward Curve'!D36,IF('Cap Pricer'!$G$27=DataValidation!$B$5,'Vols - Forward Curve'!G36,IF('Cap Pricer'!$G$27=DataValidation!$B$6,'Vols - Forward Curve'!F36,IF('Cap Pricer'!$G$27=DataValidation!$B$8,'Vols - Forward Curve'!K36,IF('Cap Pricer'!$G$27=DataValidation!$B$9,'Vols - Forward Curve'!L36,IF('Cap Pricer'!$G$27=DataValidation!$B$10,'Vols - Forward Curve'!M36,IF('Cap Pricer'!$G$27=DataValidation!$B$11,'Vols - Forward Curve'!N36,"")))))))))</f>
        <v>3.8540899999999996E-2</v>
      </c>
      <c r="S36" s="176">
        <f t="shared" si="7"/>
        <v>46228</v>
      </c>
      <c r="T36" s="172">
        <v>3.2916666666666677E-2</v>
      </c>
    </row>
    <row r="37" spans="1:20" x14ac:dyDescent="0.25">
      <c r="A37" s="33">
        <f>Volatilities_Resets!C39</f>
        <v>46259</v>
      </c>
      <c r="B37" s="130">
        <f>Volatilities_Resets!AC39/100</f>
        <v>1.3662999999999998</v>
      </c>
      <c r="C37" s="37"/>
      <c r="D37" s="130">
        <f>Volatilities_Resets!E39/100</f>
        <v>3.8544999999999996E-2</v>
      </c>
      <c r="E37" s="34"/>
      <c r="F37" s="37">
        <f t="shared" si="1"/>
        <v>-0.14261723398689163</v>
      </c>
      <c r="G37" s="37">
        <f t="shared" si="2"/>
        <v>-5.2036116993445812E-2</v>
      </c>
      <c r="H37" s="37">
        <f t="shared" si="3"/>
        <v>0.12912611699344581</v>
      </c>
      <c r="I37" s="37">
        <f t="shared" si="4"/>
        <v>0.21970723398689163</v>
      </c>
      <c r="K37" s="37">
        <f t="shared" si="8"/>
        <v>3.2083333333333346E-2</v>
      </c>
      <c r="L37" s="34">
        <v>0.06</v>
      </c>
      <c r="M37" s="27">
        <f t="shared" si="5"/>
        <v>4.1044999999999998E-2</v>
      </c>
      <c r="N37" s="37">
        <f t="shared" si="6"/>
        <v>4.3544999999999993E-2</v>
      </c>
      <c r="P37" s="37">
        <f>IF('Cap Pricer'!$G$27=DataValidation!$B$2,'Vols - Forward Curve'!I37,IF('Cap Pricer'!$G$27=DataValidation!$B$3,'Vols - Forward Curve'!H37,IF('Cap Pricer'!$G$27=DataValidation!$B$4,'Vols - Forward Curve'!D37,IF('Cap Pricer'!$G$27=DataValidation!$B$5,'Vols - Forward Curve'!G37,IF('Cap Pricer'!$G$27=DataValidation!$B$6,'Vols - Forward Curve'!F37,IF('Cap Pricer'!$G$27=DataValidation!$B$8,'Vols - Forward Curve'!K37,IF('Cap Pricer'!$G$27=DataValidation!$B$9,'Vols - Forward Curve'!L37,IF('Cap Pricer'!$G$27=DataValidation!$B$10,'Vols - Forward Curve'!M37,IF('Cap Pricer'!$G$27=DataValidation!$B$11,'Vols - Forward Curve'!N37,"")))))))))</f>
        <v>3.8544999999999996E-2</v>
      </c>
      <c r="S37" s="176">
        <f t="shared" si="7"/>
        <v>46259</v>
      </c>
      <c r="T37" s="172">
        <v>3.2083333333333346E-2</v>
      </c>
    </row>
    <row r="38" spans="1:20" x14ac:dyDescent="0.25">
      <c r="A38" s="33">
        <f>Volatilities_Resets!C40</f>
        <v>46290</v>
      </c>
      <c r="B38" s="130">
        <f>Volatilities_Resets!AC40/100</f>
        <v>1.369</v>
      </c>
      <c r="C38" s="37"/>
      <c r="D38" s="130">
        <f>Volatilities_Resets!E40/100</f>
        <v>3.7571500000000001E-2</v>
      </c>
      <c r="E38" s="34"/>
      <c r="F38" s="37">
        <f t="shared" si="1"/>
        <v>-0.14192087522240052</v>
      </c>
      <c r="G38" s="37">
        <f t="shared" si="2"/>
        <v>-5.2174687611200254E-2</v>
      </c>
      <c r="H38" s="37">
        <f t="shared" si="3"/>
        <v>0.12731768761120024</v>
      </c>
      <c r="I38" s="37">
        <f t="shared" si="4"/>
        <v>0.2170638752224005</v>
      </c>
      <c r="K38" s="37">
        <f t="shared" si="8"/>
        <v>3.1250000000000014E-2</v>
      </c>
      <c r="L38" s="34">
        <v>0.06</v>
      </c>
      <c r="M38" s="27">
        <f t="shared" si="5"/>
        <v>4.0071500000000003E-2</v>
      </c>
      <c r="N38" s="37">
        <f t="shared" si="6"/>
        <v>4.2571499999999998E-2</v>
      </c>
      <c r="P38" s="37">
        <f>IF('Cap Pricer'!$G$27=DataValidation!$B$2,'Vols - Forward Curve'!I38,IF('Cap Pricer'!$G$27=DataValidation!$B$3,'Vols - Forward Curve'!H38,IF('Cap Pricer'!$G$27=DataValidation!$B$4,'Vols - Forward Curve'!D38,IF('Cap Pricer'!$G$27=DataValidation!$B$5,'Vols - Forward Curve'!G38,IF('Cap Pricer'!$G$27=DataValidation!$B$6,'Vols - Forward Curve'!F38,IF('Cap Pricer'!$G$27=DataValidation!$B$8,'Vols - Forward Curve'!K38,IF('Cap Pricer'!$G$27=DataValidation!$B$9,'Vols - Forward Curve'!L38,IF('Cap Pricer'!$G$27=DataValidation!$B$10,'Vols - Forward Curve'!M38,IF('Cap Pricer'!$G$27=DataValidation!$B$11,'Vols - Forward Curve'!N38,"")))))))))</f>
        <v>3.7571500000000001E-2</v>
      </c>
      <c r="S38" s="176">
        <f t="shared" si="7"/>
        <v>46290</v>
      </c>
      <c r="T38" s="172">
        <v>3.1250000000000014E-2</v>
      </c>
    </row>
    <row r="39" spans="1:20" x14ac:dyDescent="0.25">
      <c r="A39" s="33">
        <f>Volatilities_Resets!C41</f>
        <v>46320</v>
      </c>
      <c r="B39" s="130">
        <f>Volatilities_Resets!AC41/100</f>
        <v>1.3692</v>
      </c>
      <c r="C39" s="37"/>
      <c r="D39" s="130">
        <f>Volatilities_Resets!E41/100</f>
        <v>3.73473E-2</v>
      </c>
      <c r="E39" s="34"/>
      <c r="F39" s="37">
        <f t="shared" si="1"/>
        <v>-0.14352582464637956</v>
      </c>
      <c r="G39" s="37">
        <f t="shared" si="2"/>
        <v>-5.3089262323189779E-2</v>
      </c>
      <c r="H39" s="37">
        <f t="shared" si="3"/>
        <v>0.12778386232318978</v>
      </c>
      <c r="I39" s="37">
        <f t="shared" si="4"/>
        <v>0.21822042464637956</v>
      </c>
      <c r="K39" s="37">
        <f t="shared" si="8"/>
        <v>3.0416666666666682E-2</v>
      </c>
      <c r="L39" s="34">
        <v>0.06</v>
      </c>
      <c r="M39" s="27">
        <f t="shared" si="5"/>
        <v>3.9847300000000002E-2</v>
      </c>
      <c r="N39" s="37">
        <f t="shared" si="6"/>
        <v>4.2347299999999997E-2</v>
      </c>
      <c r="P39" s="37">
        <f>IF('Cap Pricer'!$G$27=DataValidation!$B$2,'Vols - Forward Curve'!I39,IF('Cap Pricer'!$G$27=DataValidation!$B$3,'Vols - Forward Curve'!H39,IF('Cap Pricer'!$G$27=DataValidation!$B$4,'Vols - Forward Curve'!D39,IF('Cap Pricer'!$G$27=DataValidation!$B$5,'Vols - Forward Curve'!G39,IF('Cap Pricer'!$G$27=DataValidation!$B$6,'Vols - Forward Curve'!F39,IF('Cap Pricer'!$G$27=DataValidation!$B$8,'Vols - Forward Curve'!K39,IF('Cap Pricer'!$G$27=DataValidation!$B$9,'Vols - Forward Curve'!L39,IF('Cap Pricer'!$G$27=DataValidation!$B$10,'Vols - Forward Curve'!M39,IF('Cap Pricer'!$G$27=DataValidation!$B$11,'Vols - Forward Curve'!N39,"")))))))))</f>
        <v>3.73473E-2</v>
      </c>
      <c r="S39" s="176">
        <f t="shared" si="7"/>
        <v>46320</v>
      </c>
      <c r="T39" s="172">
        <v>3.0416666666666682E-2</v>
      </c>
    </row>
    <row r="40" spans="1:20" x14ac:dyDescent="0.25">
      <c r="A40" s="33">
        <f>Volatilities_Resets!C42</f>
        <v>46351</v>
      </c>
      <c r="B40" s="130">
        <f>Volatilities_Resets!AC42/100</f>
        <v>1.3692</v>
      </c>
      <c r="C40" s="37"/>
      <c r="D40" s="130">
        <f>Volatilities_Resets!E42/100</f>
        <v>3.7349300000000002E-2</v>
      </c>
      <c r="E40" s="34"/>
      <c r="F40" s="37">
        <f t="shared" si="1"/>
        <v>-0.14600655470801163</v>
      </c>
      <c r="G40" s="37">
        <f t="shared" si="2"/>
        <v>-5.4328627354005815E-2</v>
      </c>
      <c r="H40" s="37">
        <f t="shared" si="3"/>
        <v>0.12902722735400582</v>
      </c>
      <c r="I40" s="37">
        <f t="shared" si="4"/>
        <v>0.22070515470801164</v>
      </c>
      <c r="K40" s="37">
        <f t="shared" si="8"/>
        <v>2.958333333333335E-2</v>
      </c>
      <c r="L40" s="34">
        <v>0.06</v>
      </c>
      <c r="M40" s="27">
        <f t="shared" si="5"/>
        <v>3.9849300000000004E-2</v>
      </c>
      <c r="N40" s="37">
        <f t="shared" si="6"/>
        <v>4.2349299999999999E-2</v>
      </c>
      <c r="P40" s="37">
        <f>IF('Cap Pricer'!$G$27=DataValidation!$B$2,'Vols - Forward Curve'!I40,IF('Cap Pricer'!$G$27=DataValidation!$B$3,'Vols - Forward Curve'!H40,IF('Cap Pricer'!$G$27=DataValidation!$B$4,'Vols - Forward Curve'!D40,IF('Cap Pricer'!$G$27=DataValidation!$B$5,'Vols - Forward Curve'!G40,IF('Cap Pricer'!$G$27=DataValidation!$B$6,'Vols - Forward Curve'!F40,IF('Cap Pricer'!$G$27=DataValidation!$B$8,'Vols - Forward Curve'!K40,IF('Cap Pricer'!$G$27=DataValidation!$B$9,'Vols - Forward Curve'!L40,IF('Cap Pricer'!$G$27=DataValidation!$B$10,'Vols - Forward Curve'!M40,IF('Cap Pricer'!$G$27=DataValidation!$B$11,'Vols - Forward Curve'!N40,"")))))))))</f>
        <v>3.7349300000000002E-2</v>
      </c>
      <c r="S40" s="176">
        <f t="shared" si="7"/>
        <v>46351</v>
      </c>
      <c r="T40" s="172">
        <v>2.958333333333335E-2</v>
      </c>
    </row>
    <row r="41" spans="1:20" x14ac:dyDescent="0.25">
      <c r="A41" s="33">
        <f>Volatilities_Resets!C43</f>
        <v>46381</v>
      </c>
      <c r="B41" s="130">
        <f>Volatilities_Resets!AC43/100</f>
        <v>1.3692</v>
      </c>
      <c r="C41" s="37"/>
      <c r="D41" s="130">
        <f>Volatilities_Resets!E43/100</f>
        <v>3.73473E-2</v>
      </c>
      <c r="E41" s="34"/>
      <c r="F41" s="37">
        <f t="shared" si="1"/>
        <v>-0.1483605257976455</v>
      </c>
      <c r="G41" s="37">
        <f t="shared" si="2"/>
        <v>-5.5506612898822749E-2</v>
      </c>
      <c r="H41" s="37">
        <f t="shared" si="3"/>
        <v>0.13020121289882275</v>
      </c>
      <c r="I41" s="37">
        <f t="shared" si="4"/>
        <v>0.2230551257976455</v>
      </c>
      <c r="K41" s="37">
        <f t="shared" si="8"/>
        <v>2.8750000000000001E-2</v>
      </c>
      <c r="L41" s="34">
        <v>0.06</v>
      </c>
      <c r="M41" s="27">
        <f t="shared" si="5"/>
        <v>3.9847300000000002E-2</v>
      </c>
      <c r="N41" s="37">
        <f t="shared" si="6"/>
        <v>4.2347299999999997E-2</v>
      </c>
      <c r="P41" s="37">
        <f>IF('Cap Pricer'!$G$27=DataValidation!$B$2,'Vols - Forward Curve'!I41,IF('Cap Pricer'!$G$27=DataValidation!$B$3,'Vols - Forward Curve'!H41,IF('Cap Pricer'!$G$27=DataValidation!$B$4,'Vols - Forward Curve'!D41,IF('Cap Pricer'!$G$27=DataValidation!$B$5,'Vols - Forward Curve'!G41,IF('Cap Pricer'!$G$27=DataValidation!$B$6,'Vols - Forward Curve'!F41,IF('Cap Pricer'!$G$27=DataValidation!$B$8,'Vols - Forward Curve'!K41,IF('Cap Pricer'!$G$27=DataValidation!$B$9,'Vols - Forward Curve'!L41,IF('Cap Pricer'!$G$27=DataValidation!$B$10,'Vols - Forward Curve'!M41,IF('Cap Pricer'!$G$27=DataValidation!$B$11,'Vols - Forward Curve'!N41,"")))))))))</f>
        <v>3.73473E-2</v>
      </c>
      <c r="S41" s="176">
        <f t="shared" si="7"/>
        <v>46381</v>
      </c>
      <c r="T41" s="172">
        <v>2.8750000000000001E-2</v>
      </c>
    </row>
    <row r="42" spans="1:20" x14ac:dyDescent="0.25">
      <c r="A42" s="33">
        <f>Volatilities_Resets!C44</f>
        <v>46412</v>
      </c>
      <c r="B42" s="130">
        <f>Volatilities_Resets!AC44/100</f>
        <v>1.3692</v>
      </c>
      <c r="C42" s="37"/>
      <c r="D42" s="130">
        <f>Volatilities_Resets!E44/100</f>
        <v>3.7345400000000001E-2</v>
      </c>
      <c r="E42" s="34"/>
      <c r="F42" s="37">
        <f t="shared" si="1"/>
        <v>-0.15076222291202035</v>
      </c>
      <c r="G42" s="37">
        <f t="shared" si="2"/>
        <v>-5.6708411456010167E-2</v>
      </c>
      <c r="H42" s="37">
        <f t="shared" si="3"/>
        <v>0.13139921145601016</v>
      </c>
      <c r="I42" s="37">
        <f t="shared" si="4"/>
        <v>0.22545302291202035</v>
      </c>
      <c r="K42" s="37">
        <f t="shared" si="8"/>
        <v>2.8703125000000003E-2</v>
      </c>
      <c r="L42" s="34">
        <v>0.06</v>
      </c>
      <c r="M42" s="27">
        <f t="shared" si="5"/>
        <v>3.9845400000000003E-2</v>
      </c>
      <c r="N42" s="37">
        <f t="shared" si="6"/>
        <v>4.2345399999999998E-2</v>
      </c>
      <c r="P42" s="37">
        <f>IF('Cap Pricer'!$G$27=DataValidation!$B$2,'Vols - Forward Curve'!I42,IF('Cap Pricer'!$G$27=DataValidation!$B$3,'Vols - Forward Curve'!H42,IF('Cap Pricer'!$G$27=DataValidation!$B$4,'Vols - Forward Curve'!D42,IF('Cap Pricer'!$G$27=DataValidation!$B$5,'Vols - Forward Curve'!G42,IF('Cap Pricer'!$G$27=DataValidation!$B$6,'Vols - Forward Curve'!F42,IF('Cap Pricer'!$G$27=DataValidation!$B$8,'Vols - Forward Curve'!K42,IF('Cap Pricer'!$G$27=DataValidation!$B$9,'Vols - Forward Curve'!L42,IF('Cap Pricer'!$G$27=DataValidation!$B$10,'Vols - Forward Curve'!M42,IF('Cap Pricer'!$G$27=DataValidation!$B$11,'Vols - Forward Curve'!N42,"")))))))))</f>
        <v>3.7345400000000001E-2</v>
      </c>
      <c r="S42" s="176">
        <f t="shared" si="7"/>
        <v>46412</v>
      </c>
      <c r="T42" s="172">
        <v>2.8703125000000003E-2</v>
      </c>
    </row>
    <row r="43" spans="1:20" x14ac:dyDescent="0.25">
      <c r="A43" s="33">
        <f>Volatilities_Resets!C45</f>
        <v>46443</v>
      </c>
      <c r="B43" s="130">
        <f>Volatilities_Resets!AC45/100</f>
        <v>1.3692</v>
      </c>
      <c r="C43" s="37"/>
      <c r="D43" s="130">
        <f>Volatilities_Resets!E45/100</f>
        <v>3.7339600000000001E-2</v>
      </c>
      <c r="E43" s="34"/>
      <c r="F43" s="37">
        <f t="shared" si="1"/>
        <v>-0.15311721448582569</v>
      </c>
      <c r="G43" s="37">
        <f t="shared" si="2"/>
        <v>-5.7888807242912836E-2</v>
      </c>
      <c r="H43" s="37">
        <f t="shared" si="3"/>
        <v>0.13256800724291284</v>
      </c>
      <c r="I43" s="37">
        <f t="shared" si="4"/>
        <v>0.22779641448582569</v>
      </c>
      <c r="K43" s="37">
        <f t="shared" si="8"/>
        <v>2.8656250000000005E-2</v>
      </c>
      <c r="L43" s="34">
        <v>0.06</v>
      </c>
      <c r="M43" s="27">
        <f t="shared" si="5"/>
        <v>3.9839600000000003E-2</v>
      </c>
      <c r="N43" s="37">
        <f t="shared" si="6"/>
        <v>4.2339599999999998E-2</v>
      </c>
      <c r="P43" s="37">
        <f>IF('Cap Pricer'!$G$27=DataValidation!$B$2,'Vols - Forward Curve'!I43,IF('Cap Pricer'!$G$27=DataValidation!$B$3,'Vols - Forward Curve'!H43,IF('Cap Pricer'!$G$27=DataValidation!$B$4,'Vols - Forward Curve'!D43,IF('Cap Pricer'!$G$27=DataValidation!$B$5,'Vols - Forward Curve'!G43,IF('Cap Pricer'!$G$27=DataValidation!$B$6,'Vols - Forward Curve'!F43,IF('Cap Pricer'!$G$27=DataValidation!$B$8,'Vols - Forward Curve'!K43,IF('Cap Pricer'!$G$27=DataValidation!$B$9,'Vols - Forward Curve'!L43,IF('Cap Pricer'!$G$27=DataValidation!$B$10,'Vols - Forward Curve'!M43,IF('Cap Pricer'!$G$27=DataValidation!$B$11,'Vols - Forward Curve'!N43,"")))))))))</f>
        <v>3.7339600000000001E-2</v>
      </c>
      <c r="S43" s="176">
        <f t="shared" si="7"/>
        <v>46443</v>
      </c>
      <c r="T43" s="172">
        <v>2.8656250000000005E-2</v>
      </c>
    </row>
    <row r="44" spans="1:20" x14ac:dyDescent="0.25">
      <c r="A44" s="33">
        <f>Volatilities_Resets!C46</f>
        <v>46471</v>
      </c>
      <c r="B44" s="130">
        <f>Volatilities_Resets!AC46/100</f>
        <v>1.3692</v>
      </c>
      <c r="C44" s="37"/>
      <c r="D44" s="130">
        <f>Volatilities_Resets!E46/100</f>
        <v>3.7349300000000002E-2</v>
      </c>
      <c r="E44" s="34"/>
      <c r="F44" s="37">
        <f t="shared" si="1"/>
        <v>-0.15528053430378352</v>
      </c>
      <c r="G44" s="37">
        <f t="shared" si="2"/>
        <v>-5.8965617151891761E-2</v>
      </c>
      <c r="H44" s="37">
        <f t="shared" si="3"/>
        <v>0.13366421715189178</v>
      </c>
      <c r="I44" s="37">
        <f t="shared" si="4"/>
        <v>0.22997913430378353</v>
      </c>
      <c r="K44" s="37">
        <f t="shared" si="8"/>
        <v>2.8609375000000006E-2</v>
      </c>
      <c r="L44" s="34">
        <v>0.06</v>
      </c>
      <c r="M44" s="27">
        <f t="shared" si="5"/>
        <v>3.9849300000000004E-2</v>
      </c>
      <c r="N44" s="37">
        <f t="shared" si="6"/>
        <v>4.2349299999999999E-2</v>
      </c>
      <c r="P44" s="37">
        <f>IF('Cap Pricer'!$G$27=DataValidation!$B$2,'Vols - Forward Curve'!I44,IF('Cap Pricer'!$G$27=DataValidation!$B$3,'Vols - Forward Curve'!H44,IF('Cap Pricer'!$G$27=DataValidation!$B$4,'Vols - Forward Curve'!D44,IF('Cap Pricer'!$G$27=DataValidation!$B$5,'Vols - Forward Curve'!G44,IF('Cap Pricer'!$G$27=DataValidation!$B$6,'Vols - Forward Curve'!F44,IF('Cap Pricer'!$G$27=DataValidation!$B$8,'Vols - Forward Curve'!K44,IF('Cap Pricer'!$G$27=DataValidation!$B$9,'Vols - Forward Curve'!L44,IF('Cap Pricer'!$G$27=DataValidation!$B$10,'Vols - Forward Curve'!M44,IF('Cap Pricer'!$G$27=DataValidation!$B$11,'Vols - Forward Curve'!N44,"")))))))))</f>
        <v>3.7349300000000002E-2</v>
      </c>
      <c r="S44" s="176">
        <f t="shared" si="7"/>
        <v>46471</v>
      </c>
      <c r="T44" s="172">
        <v>2.8609375000000006E-2</v>
      </c>
    </row>
    <row r="45" spans="1:20" x14ac:dyDescent="0.25">
      <c r="A45" s="33">
        <f>Volatilities_Resets!C47</f>
        <v>46502</v>
      </c>
      <c r="B45" s="130">
        <f>Volatilities_Resets!AC47/100</f>
        <v>1.3692</v>
      </c>
      <c r="C45" s="37"/>
      <c r="D45" s="130">
        <f>Volatilities_Resets!E47/100</f>
        <v>3.7343500000000002E-2</v>
      </c>
      <c r="E45" s="34"/>
      <c r="F45" s="37">
        <f t="shared" si="1"/>
        <v>-0.157580146504849</v>
      </c>
      <c r="G45" s="37">
        <f t="shared" si="2"/>
        <v>-6.0118323252424499E-2</v>
      </c>
      <c r="H45" s="37">
        <f t="shared" si="3"/>
        <v>0.1348053232524245</v>
      </c>
      <c r="I45" s="37">
        <f t="shared" si="4"/>
        <v>0.232267146504849</v>
      </c>
      <c r="K45" s="37">
        <f t="shared" si="8"/>
        <v>2.8562500000000008E-2</v>
      </c>
      <c r="L45" s="34">
        <v>0.06</v>
      </c>
      <c r="M45" s="27">
        <f t="shared" si="5"/>
        <v>3.9843500000000004E-2</v>
      </c>
      <c r="N45" s="37">
        <f t="shared" si="6"/>
        <v>4.2343499999999999E-2</v>
      </c>
      <c r="P45" s="37">
        <f>IF('Cap Pricer'!$G$27=DataValidation!$B$2,'Vols - Forward Curve'!I45,IF('Cap Pricer'!$G$27=DataValidation!$B$3,'Vols - Forward Curve'!H45,IF('Cap Pricer'!$G$27=DataValidation!$B$4,'Vols - Forward Curve'!D45,IF('Cap Pricer'!$G$27=DataValidation!$B$5,'Vols - Forward Curve'!G45,IF('Cap Pricer'!$G$27=DataValidation!$B$6,'Vols - Forward Curve'!F45,IF('Cap Pricer'!$G$27=DataValidation!$B$8,'Vols - Forward Curve'!K45,IF('Cap Pricer'!$G$27=DataValidation!$B$9,'Vols - Forward Curve'!L45,IF('Cap Pricer'!$G$27=DataValidation!$B$10,'Vols - Forward Curve'!M45,IF('Cap Pricer'!$G$27=DataValidation!$B$11,'Vols - Forward Curve'!N45,"")))))))))</f>
        <v>3.7343500000000002E-2</v>
      </c>
      <c r="S45" s="176">
        <f t="shared" si="7"/>
        <v>46502</v>
      </c>
      <c r="T45" s="172">
        <v>2.8562500000000008E-2</v>
      </c>
    </row>
    <row r="46" spans="1:20" x14ac:dyDescent="0.25">
      <c r="A46" s="33">
        <f>Volatilities_Resets!C48</f>
        <v>46532</v>
      </c>
      <c r="B46" s="130">
        <f>Volatilities_Resets!AC48/100</f>
        <v>1.3691</v>
      </c>
      <c r="C46" s="37"/>
      <c r="D46" s="130">
        <f>Volatilities_Resets!E48/100</f>
        <v>3.7349300000000002E-2</v>
      </c>
      <c r="E46" s="34"/>
      <c r="F46" s="37">
        <f t="shared" si="1"/>
        <v>-0.15981325575617003</v>
      </c>
      <c r="G46" s="37">
        <f t="shared" si="2"/>
        <v>-6.1231977878085014E-2</v>
      </c>
      <c r="H46" s="37">
        <f t="shared" si="3"/>
        <v>0.13593057787808502</v>
      </c>
      <c r="I46" s="37">
        <f t="shared" si="4"/>
        <v>0.23451185575617003</v>
      </c>
      <c r="K46" s="37">
        <f t="shared" si="8"/>
        <v>2.851562500000001E-2</v>
      </c>
      <c r="L46" s="34">
        <v>0.06</v>
      </c>
      <c r="M46" s="27">
        <f t="shared" si="5"/>
        <v>3.9849300000000004E-2</v>
      </c>
      <c r="N46" s="37">
        <f t="shared" si="6"/>
        <v>4.2349299999999999E-2</v>
      </c>
      <c r="P46" s="37">
        <f>IF('Cap Pricer'!$G$27=DataValidation!$B$2,'Vols - Forward Curve'!I46,IF('Cap Pricer'!$G$27=DataValidation!$B$3,'Vols - Forward Curve'!H46,IF('Cap Pricer'!$G$27=DataValidation!$B$4,'Vols - Forward Curve'!D46,IF('Cap Pricer'!$G$27=DataValidation!$B$5,'Vols - Forward Curve'!G46,IF('Cap Pricer'!$G$27=DataValidation!$B$6,'Vols - Forward Curve'!F46,IF('Cap Pricer'!$G$27=DataValidation!$B$8,'Vols - Forward Curve'!K46,IF('Cap Pricer'!$G$27=DataValidation!$B$9,'Vols - Forward Curve'!L46,IF('Cap Pricer'!$G$27=DataValidation!$B$10,'Vols - Forward Curve'!M46,IF('Cap Pricer'!$G$27=DataValidation!$B$11,'Vols - Forward Curve'!N46,"")))))))))</f>
        <v>3.7349300000000002E-2</v>
      </c>
      <c r="S46" s="176">
        <f t="shared" si="7"/>
        <v>46532</v>
      </c>
      <c r="T46" s="172">
        <v>2.851562500000001E-2</v>
      </c>
    </row>
    <row r="47" spans="1:20" x14ac:dyDescent="0.25">
      <c r="A47" s="33">
        <f>Volatilities_Resets!C49</f>
        <v>46563</v>
      </c>
      <c r="B47" s="130">
        <f>Volatilities_Resets!AC49/100</f>
        <v>1.3692</v>
      </c>
      <c r="C47" s="37"/>
      <c r="D47" s="130">
        <f>Volatilities_Resets!E49/100</f>
        <v>3.73473E-2</v>
      </c>
      <c r="E47" s="34"/>
      <c r="F47" s="37">
        <f t="shared" si="1"/>
        <v>-0.16209008451051093</v>
      </c>
      <c r="G47" s="37">
        <f t="shared" si="2"/>
        <v>-6.2371392255255474E-2</v>
      </c>
      <c r="H47" s="37">
        <f t="shared" si="3"/>
        <v>0.13706599225525548</v>
      </c>
      <c r="I47" s="37">
        <f t="shared" si="4"/>
        <v>0.23678468451051093</v>
      </c>
      <c r="K47" s="37">
        <f t="shared" si="8"/>
        <v>2.8468750000000011E-2</v>
      </c>
      <c r="L47" s="34">
        <v>0.06</v>
      </c>
      <c r="M47" s="27">
        <f t="shared" si="5"/>
        <v>3.9847300000000002E-2</v>
      </c>
      <c r="N47" s="37">
        <f t="shared" si="6"/>
        <v>4.2347299999999997E-2</v>
      </c>
      <c r="P47" s="37">
        <f>IF('Cap Pricer'!$G$27=DataValidation!$B$2,'Vols - Forward Curve'!I47,IF('Cap Pricer'!$G$27=DataValidation!$B$3,'Vols - Forward Curve'!H47,IF('Cap Pricer'!$G$27=DataValidation!$B$4,'Vols - Forward Curve'!D47,IF('Cap Pricer'!$G$27=DataValidation!$B$5,'Vols - Forward Curve'!G47,IF('Cap Pricer'!$G$27=DataValidation!$B$6,'Vols - Forward Curve'!F47,IF('Cap Pricer'!$G$27=DataValidation!$B$8,'Vols - Forward Curve'!K47,IF('Cap Pricer'!$G$27=DataValidation!$B$9,'Vols - Forward Curve'!L47,IF('Cap Pricer'!$G$27=DataValidation!$B$10,'Vols - Forward Curve'!M47,IF('Cap Pricer'!$G$27=DataValidation!$B$11,'Vols - Forward Curve'!N47,"")))))))))</f>
        <v>3.73473E-2</v>
      </c>
      <c r="S47" s="176">
        <f t="shared" si="7"/>
        <v>46563</v>
      </c>
      <c r="T47" s="172">
        <v>2.8468750000000011E-2</v>
      </c>
    </row>
    <row r="48" spans="1:20" x14ac:dyDescent="0.25">
      <c r="A48" s="33">
        <f>Volatilities_Resets!C50</f>
        <v>46593</v>
      </c>
      <c r="B48" s="130">
        <f>Volatilities_Resets!AC50/100</f>
        <v>1.3436000000000001</v>
      </c>
      <c r="C48" s="37"/>
      <c r="D48" s="130">
        <f>Volatilities_Resets!E50/100</f>
        <v>3.7345400000000001E-2</v>
      </c>
      <c r="E48" s="34"/>
      <c r="F48" s="37">
        <f t="shared" si="1"/>
        <v>-0.16048576711613202</v>
      </c>
      <c r="G48" s="37">
        <f t="shared" si="2"/>
        <v>-6.1570183558066011E-2</v>
      </c>
      <c r="H48" s="37">
        <f t="shared" si="3"/>
        <v>0.13626098355806601</v>
      </c>
      <c r="I48" s="37">
        <f t="shared" si="4"/>
        <v>0.23517656711613202</v>
      </c>
      <c r="K48" s="37">
        <f t="shared" si="8"/>
        <v>2.8421875000000013E-2</v>
      </c>
      <c r="L48" s="34">
        <v>0.06</v>
      </c>
      <c r="M48" s="27">
        <f t="shared" si="5"/>
        <v>3.9845400000000003E-2</v>
      </c>
      <c r="N48" s="37">
        <f t="shared" si="6"/>
        <v>4.2345399999999998E-2</v>
      </c>
      <c r="P48" s="37">
        <f>IF('Cap Pricer'!$G$27=DataValidation!$B$2,'Vols - Forward Curve'!I48,IF('Cap Pricer'!$G$27=DataValidation!$B$3,'Vols - Forward Curve'!H48,IF('Cap Pricer'!$G$27=DataValidation!$B$4,'Vols - Forward Curve'!D48,IF('Cap Pricer'!$G$27=DataValidation!$B$5,'Vols - Forward Curve'!G48,IF('Cap Pricer'!$G$27=DataValidation!$B$6,'Vols - Forward Curve'!F48,IF('Cap Pricer'!$G$27=DataValidation!$B$8,'Vols - Forward Curve'!K48,IF('Cap Pricer'!$G$27=DataValidation!$B$9,'Vols - Forward Curve'!L48,IF('Cap Pricer'!$G$27=DataValidation!$B$10,'Vols - Forward Curve'!M48,IF('Cap Pricer'!$G$27=DataValidation!$B$11,'Vols - Forward Curve'!N48,"")))))))))</f>
        <v>3.7345400000000001E-2</v>
      </c>
      <c r="S48" s="176">
        <f t="shared" si="7"/>
        <v>46593</v>
      </c>
      <c r="T48" s="172">
        <v>2.8421875000000013E-2</v>
      </c>
    </row>
    <row r="49" spans="1:20" x14ac:dyDescent="0.25">
      <c r="A49" s="33">
        <f>Volatilities_Resets!C51</f>
        <v>46624</v>
      </c>
      <c r="B49" s="130">
        <f>Volatilities_Resets!AC51/100</f>
        <v>1.3143</v>
      </c>
      <c r="C49" s="37"/>
      <c r="D49" s="130">
        <f>Volatilities_Resets!E51/100</f>
        <v>3.7349300000000002E-2</v>
      </c>
      <c r="E49" s="34"/>
      <c r="F49" s="37">
        <f t="shared" si="1"/>
        <v>-0.15832047183867209</v>
      </c>
      <c r="G49" s="37">
        <f t="shared" si="2"/>
        <v>-6.0485585919336053E-2</v>
      </c>
      <c r="H49" s="37">
        <f t="shared" si="3"/>
        <v>0.13518418591933606</v>
      </c>
      <c r="I49" s="37">
        <f t="shared" si="4"/>
        <v>0.2330190718386721</v>
      </c>
      <c r="K49" s="37">
        <f t="shared" si="8"/>
        <v>2.8375000000000015E-2</v>
      </c>
      <c r="L49" s="34">
        <v>0.06</v>
      </c>
      <c r="M49" s="27">
        <f t="shared" si="5"/>
        <v>3.9849300000000004E-2</v>
      </c>
      <c r="N49" s="37">
        <f t="shared" si="6"/>
        <v>4.2349299999999999E-2</v>
      </c>
      <c r="P49" s="37">
        <f>IF('Cap Pricer'!$G$27=DataValidation!$B$2,'Vols - Forward Curve'!I49,IF('Cap Pricer'!$G$27=DataValidation!$B$3,'Vols - Forward Curve'!H49,IF('Cap Pricer'!$G$27=DataValidation!$B$4,'Vols - Forward Curve'!D49,IF('Cap Pricer'!$G$27=DataValidation!$B$5,'Vols - Forward Curve'!G49,IF('Cap Pricer'!$G$27=DataValidation!$B$6,'Vols - Forward Curve'!F49,IF('Cap Pricer'!$G$27=DataValidation!$B$8,'Vols - Forward Curve'!K49,IF('Cap Pricer'!$G$27=DataValidation!$B$9,'Vols - Forward Curve'!L49,IF('Cap Pricer'!$G$27=DataValidation!$B$10,'Vols - Forward Curve'!M49,IF('Cap Pricer'!$G$27=DataValidation!$B$11,'Vols - Forward Curve'!N49,"")))))))))</f>
        <v>3.7349300000000002E-2</v>
      </c>
      <c r="S49" s="176">
        <f t="shared" si="7"/>
        <v>46624</v>
      </c>
      <c r="T49" s="172">
        <v>2.8375000000000015E-2</v>
      </c>
    </row>
    <row r="50" spans="1:20" x14ac:dyDescent="0.25">
      <c r="A50" s="33">
        <f>Volatilities_Resets!C52</f>
        <v>46655</v>
      </c>
      <c r="B50" s="130">
        <f>Volatilities_Resets!AC52/100</f>
        <v>1.2863</v>
      </c>
      <c r="C50" s="37"/>
      <c r="D50" s="130">
        <f>Volatilities_Resets!E52/100</f>
        <v>3.7555200000000004E-2</v>
      </c>
      <c r="E50" s="34"/>
      <c r="F50" s="37">
        <f t="shared" si="1"/>
        <v>-0.1570776768871186</v>
      </c>
      <c r="G50" s="37">
        <f t="shared" si="2"/>
        <v>-5.9761238443559295E-2</v>
      </c>
      <c r="H50" s="37">
        <f t="shared" si="3"/>
        <v>0.13487163844355932</v>
      </c>
      <c r="I50" s="37">
        <f t="shared" si="4"/>
        <v>0.23218807688711859</v>
      </c>
      <c r="K50" s="37">
        <f t="shared" si="8"/>
        <v>2.8328125000000016E-2</v>
      </c>
      <c r="L50" s="34">
        <v>0.06</v>
      </c>
      <c r="M50" s="27">
        <f t="shared" si="5"/>
        <v>4.0055200000000006E-2</v>
      </c>
      <c r="N50" s="37">
        <f t="shared" si="6"/>
        <v>4.2555200000000001E-2</v>
      </c>
      <c r="P50" s="37">
        <f>IF('Cap Pricer'!$G$27=DataValidation!$B$2,'Vols - Forward Curve'!I50,IF('Cap Pricer'!$G$27=DataValidation!$B$3,'Vols - Forward Curve'!H50,IF('Cap Pricer'!$G$27=DataValidation!$B$4,'Vols - Forward Curve'!D50,IF('Cap Pricer'!$G$27=DataValidation!$B$5,'Vols - Forward Curve'!G50,IF('Cap Pricer'!$G$27=DataValidation!$B$6,'Vols - Forward Curve'!F50,IF('Cap Pricer'!$G$27=DataValidation!$B$8,'Vols - Forward Curve'!K50,IF('Cap Pricer'!$G$27=DataValidation!$B$9,'Vols - Forward Curve'!L50,IF('Cap Pricer'!$G$27=DataValidation!$B$10,'Vols - Forward Curve'!M50,IF('Cap Pricer'!$G$27=DataValidation!$B$11,'Vols - Forward Curve'!N50,"")))))))))</f>
        <v>3.7555200000000004E-2</v>
      </c>
      <c r="S50" s="176">
        <f t="shared" si="7"/>
        <v>46655</v>
      </c>
      <c r="T50" s="172">
        <v>2.8328125000000016E-2</v>
      </c>
    </row>
    <row r="51" spans="1:20" x14ac:dyDescent="0.25">
      <c r="A51" s="33">
        <f>Volatilities_Resets!C53</f>
        <v>46685</v>
      </c>
      <c r="B51" s="130">
        <f>Volatilities_Resets!AC53/100</f>
        <v>1.2853000000000001</v>
      </c>
      <c r="C51" s="37"/>
      <c r="D51" s="130">
        <f>Volatilities_Resets!E53/100</f>
        <v>3.7595499999999997E-2</v>
      </c>
      <c r="E51" s="34"/>
      <c r="F51" s="37">
        <f t="shared" si="1"/>
        <v>-0.15908347651729404</v>
      </c>
      <c r="G51" s="37">
        <f t="shared" si="2"/>
        <v>-6.0743988258647019E-2</v>
      </c>
      <c r="H51" s="37">
        <f t="shared" si="3"/>
        <v>0.13593498825864703</v>
      </c>
      <c r="I51" s="37">
        <f t="shared" si="4"/>
        <v>0.23427447651729402</v>
      </c>
      <c r="K51" s="37">
        <f t="shared" si="8"/>
        <v>2.8281250000000018E-2</v>
      </c>
      <c r="L51" s="34">
        <v>0.06</v>
      </c>
      <c r="M51" s="27">
        <f t="shared" si="5"/>
        <v>4.0095499999999999E-2</v>
      </c>
      <c r="N51" s="37">
        <f t="shared" si="6"/>
        <v>4.2595499999999994E-2</v>
      </c>
      <c r="P51" s="37">
        <f>IF('Cap Pricer'!$G$27=DataValidation!$B$2,'Vols - Forward Curve'!I51,IF('Cap Pricer'!$G$27=DataValidation!$B$3,'Vols - Forward Curve'!H51,IF('Cap Pricer'!$G$27=DataValidation!$B$4,'Vols - Forward Curve'!D51,IF('Cap Pricer'!$G$27=DataValidation!$B$5,'Vols - Forward Curve'!G51,IF('Cap Pricer'!$G$27=DataValidation!$B$6,'Vols - Forward Curve'!F51,IF('Cap Pricer'!$G$27=DataValidation!$B$8,'Vols - Forward Curve'!K51,IF('Cap Pricer'!$G$27=DataValidation!$B$9,'Vols - Forward Curve'!L51,IF('Cap Pricer'!$G$27=DataValidation!$B$10,'Vols - Forward Curve'!M51,IF('Cap Pricer'!$G$27=DataValidation!$B$11,'Vols - Forward Curve'!N51,"")))))))))</f>
        <v>3.7595499999999997E-2</v>
      </c>
      <c r="S51" s="176">
        <f t="shared" si="7"/>
        <v>46685</v>
      </c>
      <c r="T51" s="172">
        <v>2.8281250000000018E-2</v>
      </c>
    </row>
    <row r="52" spans="1:20" x14ac:dyDescent="0.25">
      <c r="A52" s="33">
        <f>Volatilities_Resets!C54</f>
        <v>46716</v>
      </c>
      <c r="B52" s="130">
        <f>Volatilities_Resets!AC54/100</f>
        <v>1.2853000000000001</v>
      </c>
      <c r="C52" s="37"/>
      <c r="D52" s="130">
        <f>Volatilities_Resets!E54/100</f>
        <v>3.7599399999999998E-2</v>
      </c>
      <c r="E52" s="34"/>
      <c r="F52" s="37">
        <f t="shared" si="1"/>
        <v>-0.16113428875341015</v>
      </c>
      <c r="G52" s="37">
        <f t="shared" si="2"/>
        <v>-6.1767444376705082E-2</v>
      </c>
      <c r="H52" s="37">
        <f t="shared" si="3"/>
        <v>0.13696624437670507</v>
      </c>
      <c r="I52" s="37">
        <f t="shared" si="4"/>
        <v>0.23633308875341016</v>
      </c>
      <c r="K52" s="37">
        <f t="shared" si="8"/>
        <v>2.823437500000002E-2</v>
      </c>
      <c r="L52" s="34">
        <v>0.06</v>
      </c>
      <c r="M52" s="27">
        <f t="shared" si="5"/>
        <v>4.00994E-2</v>
      </c>
      <c r="N52" s="37">
        <f t="shared" si="6"/>
        <v>4.2599399999999996E-2</v>
      </c>
      <c r="P52" s="37">
        <f>IF('Cap Pricer'!$G$27=DataValidation!$B$2,'Vols - Forward Curve'!I52,IF('Cap Pricer'!$G$27=DataValidation!$B$3,'Vols - Forward Curve'!H52,IF('Cap Pricer'!$G$27=DataValidation!$B$4,'Vols - Forward Curve'!D52,IF('Cap Pricer'!$G$27=DataValidation!$B$5,'Vols - Forward Curve'!G52,IF('Cap Pricer'!$G$27=DataValidation!$B$6,'Vols - Forward Curve'!F52,IF('Cap Pricer'!$G$27=DataValidation!$B$8,'Vols - Forward Curve'!K52,IF('Cap Pricer'!$G$27=DataValidation!$B$9,'Vols - Forward Curve'!L52,IF('Cap Pricer'!$G$27=DataValidation!$B$10,'Vols - Forward Curve'!M52,IF('Cap Pricer'!$G$27=DataValidation!$B$11,'Vols - Forward Curve'!N52,"")))))))))</f>
        <v>3.7599399999999998E-2</v>
      </c>
      <c r="S52" s="176">
        <f t="shared" si="7"/>
        <v>46716</v>
      </c>
      <c r="T52" s="172">
        <v>2.823437500000002E-2</v>
      </c>
    </row>
    <row r="53" spans="1:20" x14ac:dyDescent="0.25">
      <c r="A53" s="33">
        <f>Volatilities_Resets!C55</f>
        <v>46746</v>
      </c>
      <c r="B53" s="130">
        <f>Volatilities_Resets!AC55/100</f>
        <v>1.2853000000000001</v>
      </c>
      <c r="C53" s="37"/>
      <c r="D53" s="130">
        <f>Volatilities_Resets!E55/100</f>
        <v>3.7595499999999997E-2</v>
      </c>
      <c r="E53" s="34"/>
      <c r="F53" s="37">
        <f t="shared" si="1"/>
        <v>-0.16306642598915028</v>
      </c>
      <c r="G53" s="37">
        <f t="shared" si="2"/>
        <v>-6.2735462994575136E-2</v>
      </c>
      <c r="H53" s="37">
        <f t="shared" si="3"/>
        <v>0.13792646299457512</v>
      </c>
      <c r="I53" s="37">
        <f t="shared" si="4"/>
        <v>0.23825742598915026</v>
      </c>
      <c r="K53" s="37">
        <f t="shared" si="8"/>
        <v>2.8187500000000022E-2</v>
      </c>
      <c r="L53" s="34">
        <v>0.06</v>
      </c>
      <c r="M53" s="27">
        <f t="shared" si="5"/>
        <v>4.0095499999999999E-2</v>
      </c>
      <c r="N53" s="37">
        <f t="shared" si="6"/>
        <v>4.2595499999999994E-2</v>
      </c>
      <c r="P53" s="37">
        <f>IF('Cap Pricer'!$G$27=DataValidation!$B$2,'Vols - Forward Curve'!I53,IF('Cap Pricer'!$G$27=DataValidation!$B$3,'Vols - Forward Curve'!H53,IF('Cap Pricer'!$G$27=DataValidation!$B$4,'Vols - Forward Curve'!D53,IF('Cap Pricer'!$G$27=DataValidation!$B$5,'Vols - Forward Curve'!G53,IF('Cap Pricer'!$G$27=DataValidation!$B$6,'Vols - Forward Curve'!F53,IF('Cap Pricer'!$G$27=DataValidation!$B$8,'Vols - Forward Curve'!K53,IF('Cap Pricer'!$G$27=DataValidation!$B$9,'Vols - Forward Curve'!L53,IF('Cap Pricer'!$G$27=DataValidation!$B$10,'Vols - Forward Curve'!M53,IF('Cap Pricer'!$G$27=DataValidation!$B$11,'Vols - Forward Curve'!N53,"")))))))))</f>
        <v>3.7595499999999997E-2</v>
      </c>
      <c r="S53" s="176">
        <f t="shared" si="7"/>
        <v>46746</v>
      </c>
      <c r="T53" s="172">
        <v>2.8187500000000022E-2</v>
      </c>
    </row>
    <row r="54" spans="1:20" x14ac:dyDescent="0.25">
      <c r="A54" s="33">
        <f>Volatilities_Resets!C56</f>
        <v>46777</v>
      </c>
      <c r="B54" s="130">
        <f>Volatilities_Resets!AC56/100</f>
        <v>1.2853000000000001</v>
      </c>
      <c r="C54" s="37"/>
      <c r="D54" s="130">
        <f>Volatilities_Resets!E56/100</f>
        <v>3.7599399999999998E-2</v>
      </c>
      <c r="E54" s="34"/>
      <c r="F54" s="37">
        <f t="shared" si="1"/>
        <v>-0.16507767354960445</v>
      </c>
      <c r="G54" s="37">
        <f t="shared" si="2"/>
        <v>-6.3739136774802224E-2</v>
      </c>
      <c r="H54" s="37">
        <f t="shared" si="3"/>
        <v>0.13893793677480221</v>
      </c>
      <c r="I54" s="37">
        <f t="shared" si="4"/>
        <v>0.24027647354960444</v>
      </c>
      <c r="K54" s="37">
        <f t="shared" si="8"/>
        <v>2.8140625000000023E-2</v>
      </c>
      <c r="L54" s="34">
        <v>0.06</v>
      </c>
      <c r="M54" s="27">
        <f t="shared" si="5"/>
        <v>4.00994E-2</v>
      </c>
      <c r="N54" s="37">
        <f t="shared" si="6"/>
        <v>4.2599399999999996E-2</v>
      </c>
      <c r="P54" s="37">
        <f>IF('Cap Pricer'!$G$27=DataValidation!$B$2,'Vols - Forward Curve'!I54,IF('Cap Pricer'!$G$27=DataValidation!$B$3,'Vols - Forward Curve'!H54,IF('Cap Pricer'!$G$27=DataValidation!$B$4,'Vols - Forward Curve'!D54,IF('Cap Pricer'!$G$27=DataValidation!$B$5,'Vols - Forward Curve'!G54,IF('Cap Pricer'!$G$27=DataValidation!$B$6,'Vols - Forward Curve'!F54,IF('Cap Pricer'!$G$27=DataValidation!$B$8,'Vols - Forward Curve'!K54,IF('Cap Pricer'!$G$27=DataValidation!$B$9,'Vols - Forward Curve'!L54,IF('Cap Pricer'!$G$27=DataValidation!$B$10,'Vols - Forward Curve'!M54,IF('Cap Pricer'!$G$27=DataValidation!$B$11,'Vols - Forward Curve'!N54,"")))))))))</f>
        <v>3.7599399999999998E-2</v>
      </c>
      <c r="S54" s="176">
        <f t="shared" si="7"/>
        <v>46777</v>
      </c>
      <c r="T54" s="172">
        <v>2.8140625000000023E-2</v>
      </c>
    </row>
    <row r="55" spans="1:20" x14ac:dyDescent="0.25">
      <c r="A55" s="33">
        <f>Volatilities_Resets!C57</f>
        <v>46808</v>
      </c>
      <c r="B55" s="130">
        <f>Volatilities_Resets!AC57/100</f>
        <v>1.2853000000000001</v>
      </c>
      <c r="C55" s="37"/>
      <c r="D55" s="130">
        <f>Volatilities_Resets!E57/100</f>
        <v>3.7591600000000003E-2</v>
      </c>
      <c r="E55" s="34"/>
      <c r="F55" s="37">
        <f t="shared" si="1"/>
        <v>-0.16701791638179286</v>
      </c>
      <c r="G55" s="37">
        <f t="shared" si="2"/>
        <v>-6.471315819089643E-2</v>
      </c>
      <c r="H55" s="37">
        <f t="shared" si="3"/>
        <v>0.13989635819089644</v>
      </c>
      <c r="I55" s="37">
        <f t="shared" si="4"/>
        <v>0.24220111638179287</v>
      </c>
      <c r="K55" s="37">
        <f t="shared" si="8"/>
        <v>2.8093750000000025E-2</v>
      </c>
      <c r="L55" s="34">
        <v>0.06</v>
      </c>
      <c r="M55" s="27">
        <f t="shared" si="5"/>
        <v>4.0091600000000005E-2</v>
      </c>
      <c r="N55" s="37">
        <f t="shared" si="6"/>
        <v>4.25916E-2</v>
      </c>
      <c r="P55" s="37">
        <f>IF('Cap Pricer'!$G$27=DataValidation!$B$2,'Vols - Forward Curve'!I55,IF('Cap Pricer'!$G$27=DataValidation!$B$3,'Vols - Forward Curve'!H55,IF('Cap Pricer'!$G$27=DataValidation!$B$4,'Vols - Forward Curve'!D55,IF('Cap Pricer'!$G$27=DataValidation!$B$5,'Vols - Forward Curve'!G55,IF('Cap Pricer'!$G$27=DataValidation!$B$6,'Vols - Forward Curve'!F55,IF('Cap Pricer'!$G$27=DataValidation!$B$8,'Vols - Forward Curve'!K55,IF('Cap Pricer'!$G$27=DataValidation!$B$9,'Vols - Forward Curve'!L55,IF('Cap Pricer'!$G$27=DataValidation!$B$10,'Vols - Forward Curve'!M55,IF('Cap Pricer'!$G$27=DataValidation!$B$11,'Vols - Forward Curve'!N55,"")))))))))</f>
        <v>3.7591600000000003E-2</v>
      </c>
      <c r="S55" s="176">
        <f t="shared" si="7"/>
        <v>46808</v>
      </c>
      <c r="T55" s="172">
        <v>2.8093750000000025E-2</v>
      </c>
    </row>
    <row r="56" spans="1:20" x14ac:dyDescent="0.25">
      <c r="A56" s="33">
        <f>Volatilities_Resets!C58</f>
        <v>46837</v>
      </c>
      <c r="B56" s="130">
        <f>Volatilities_Resets!AC58/100</f>
        <v>1.2853000000000001</v>
      </c>
      <c r="C56" s="37"/>
      <c r="D56" s="130">
        <f>Volatilities_Resets!E58/100</f>
        <v>3.7595499999999997E-2</v>
      </c>
      <c r="E56" s="34"/>
      <c r="F56" s="37">
        <f t="shared" si="1"/>
        <v>-0.16886543967023951</v>
      </c>
      <c r="G56" s="37">
        <f t="shared" si="2"/>
        <v>-6.5634969835119752E-2</v>
      </c>
      <c r="H56" s="37">
        <f t="shared" si="3"/>
        <v>0.14082596983511975</v>
      </c>
      <c r="I56" s="37">
        <f t="shared" si="4"/>
        <v>0.24405643967023952</v>
      </c>
      <c r="K56" s="37">
        <f t="shared" si="8"/>
        <v>2.8046875000000027E-2</v>
      </c>
      <c r="L56" s="34">
        <v>0.06</v>
      </c>
      <c r="M56" s="27">
        <f t="shared" si="5"/>
        <v>4.0095499999999999E-2</v>
      </c>
      <c r="N56" s="37">
        <f t="shared" si="6"/>
        <v>4.2595499999999994E-2</v>
      </c>
      <c r="P56" s="37">
        <f>IF('Cap Pricer'!$G$27=DataValidation!$B$2,'Vols - Forward Curve'!I56,IF('Cap Pricer'!$G$27=DataValidation!$B$3,'Vols - Forward Curve'!H56,IF('Cap Pricer'!$G$27=DataValidation!$B$4,'Vols - Forward Curve'!D56,IF('Cap Pricer'!$G$27=DataValidation!$B$5,'Vols - Forward Curve'!G56,IF('Cap Pricer'!$G$27=DataValidation!$B$6,'Vols - Forward Curve'!F56,IF('Cap Pricer'!$G$27=DataValidation!$B$8,'Vols - Forward Curve'!K56,IF('Cap Pricer'!$G$27=DataValidation!$B$9,'Vols - Forward Curve'!L56,IF('Cap Pricer'!$G$27=DataValidation!$B$10,'Vols - Forward Curve'!M56,IF('Cap Pricer'!$G$27=DataValidation!$B$11,'Vols - Forward Curve'!N56,"")))))))))</f>
        <v>3.7595499999999997E-2</v>
      </c>
      <c r="S56" s="176">
        <f t="shared" si="7"/>
        <v>46837</v>
      </c>
      <c r="T56" s="172">
        <v>2.8046875000000027E-2</v>
      </c>
    </row>
    <row r="57" spans="1:20" x14ac:dyDescent="0.25">
      <c r="A57" s="33">
        <f>Volatilities_Resets!C59</f>
        <v>46868</v>
      </c>
      <c r="B57" s="130">
        <f>Volatilities_Resets!AC59/100</f>
        <v>1.2853000000000001</v>
      </c>
      <c r="C57" s="37"/>
      <c r="D57" s="130">
        <f>Volatilities_Resets!E59/100</f>
        <v>3.7593599999999998E-2</v>
      </c>
      <c r="E57" s="34"/>
      <c r="F57" s="37">
        <f t="shared" si="1"/>
        <v>-0.17079545048408601</v>
      </c>
      <c r="G57" s="37">
        <f t="shared" si="2"/>
        <v>-6.6600925242043016E-2</v>
      </c>
      <c r="H57" s="37">
        <f t="shared" si="3"/>
        <v>0.14178812524204301</v>
      </c>
      <c r="I57" s="37">
        <f t="shared" si="4"/>
        <v>0.24598265048408602</v>
      </c>
      <c r="K57" s="37">
        <f t="shared" si="8"/>
        <v>2.8000000000000028E-2</v>
      </c>
      <c r="L57" s="34">
        <v>0.06</v>
      </c>
      <c r="M57" s="27">
        <f t="shared" si="5"/>
        <v>4.00936E-2</v>
      </c>
      <c r="N57" s="37">
        <f t="shared" si="6"/>
        <v>4.2593599999999995E-2</v>
      </c>
      <c r="P57" s="37">
        <f>IF('Cap Pricer'!$G$27=DataValidation!$B$2,'Vols - Forward Curve'!I57,IF('Cap Pricer'!$G$27=DataValidation!$B$3,'Vols - Forward Curve'!H57,IF('Cap Pricer'!$G$27=DataValidation!$B$4,'Vols - Forward Curve'!D57,IF('Cap Pricer'!$G$27=DataValidation!$B$5,'Vols - Forward Curve'!G57,IF('Cap Pricer'!$G$27=DataValidation!$B$6,'Vols - Forward Curve'!F57,IF('Cap Pricer'!$G$27=DataValidation!$B$8,'Vols - Forward Curve'!K57,IF('Cap Pricer'!$G$27=DataValidation!$B$9,'Vols - Forward Curve'!L57,IF('Cap Pricer'!$G$27=DataValidation!$B$10,'Vols - Forward Curve'!M57,IF('Cap Pricer'!$G$27=DataValidation!$B$11,'Vols - Forward Curve'!N57,"")))))))))</f>
        <v>3.7593599999999998E-2</v>
      </c>
      <c r="S57" s="176">
        <f t="shared" si="7"/>
        <v>46868</v>
      </c>
      <c r="T57" s="172">
        <v>2.8000000000000028E-2</v>
      </c>
    </row>
    <row r="58" spans="1:20" x14ac:dyDescent="0.25">
      <c r="A58" s="33">
        <f>Volatilities_Resets!C60</f>
        <v>46898</v>
      </c>
      <c r="B58" s="130">
        <f>Volatilities_Resets!AC60/100</f>
        <v>1.2853000000000001</v>
      </c>
      <c r="C58" s="37"/>
      <c r="D58" s="130">
        <f>Volatilities_Resets!E60/100</f>
        <v>3.7599399999999998E-2</v>
      </c>
      <c r="E58" s="34"/>
      <c r="F58" s="37">
        <f t="shared" si="1"/>
        <v>-0.17268108144374358</v>
      </c>
      <c r="G58" s="37">
        <f t="shared" si="2"/>
        <v>-6.7540840721871789E-2</v>
      </c>
      <c r="H58" s="37">
        <f t="shared" si="3"/>
        <v>0.14273964072187179</v>
      </c>
      <c r="I58" s="37">
        <f t="shared" si="4"/>
        <v>0.24787988144374357</v>
      </c>
      <c r="K58" s="37">
        <f t="shared" si="8"/>
        <v>2.795312500000003E-2</v>
      </c>
      <c r="L58" s="34">
        <v>0.06</v>
      </c>
      <c r="M58" s="27">
        <f t="shared" si="5"/>
        <v>4.00994E-2</v>
      </c>
      <c r="N58" s="37">
        <f t="shared" si="6"/>
        <v>4.2599399999999996E-2</v>
      </c>
      <c r="P58" s="37">
        <f>IF('Cap Pricer'!$G$27=DataValidation!$B$2,'Vols - Forward Curve'!I58,IF('Cap Pricer'!$G$27=DataValidation!$B$3,'Vols - Forward Curve'!H58,IF('Cap Pricer'!$G$27=DataValidation!$B$4,'Vols - Forward Curve'!D58,IF('Cap Pricer'!$G$27=DataValidation!$B$5,'Vols - Forward Curve'!G58,IF('Cap Pricer'!$G$27=DataValidation!$B$6,'Vols - Forward Curve'!F58,IF('Cap Pricer'!$G$27=DataValidation!$B$8,'Vols - Forward Curve'!K58,IF('Cap Pricer'!$G$27=DataValidation!$B$9,'Vols - Forward Curve'!L58,IF('Cap Pricer'!$G$27=DataValidation!$B$10,'Vols - Forward Curve'!M58,IF('Cap Pricer'!$G$27=DataValidation!$B$11,'Vols - Forward Curve'!N58,"")))))))))</f>
        <v>3.7599399999999998E-2</v>
      </c>
      <c r="S58" s="176">
        <f t="shared" si="7"/>
        <v>46898</v>
      </c>
      <c r="T58" s="172">
        <v>2.795312500000003E-2</v>
      </c>
    </row>
    <row r="59" spans="1:20" x14ac:dyDescent="0.25">
      <c r="A59" s="33">
        <f>Volatilities_Resets!C61</f>
        <v>46929</v>
      </c>
      <c r="B59" s="130">
        <f>Volatilities_Resets!AC61/100</f>
        <v>1.2853000000000001</v>
      </c>
      <c r="C59" s="37"/>
      <c r="D59" s="130">
        <f>Volatilities_Resets!E61/100</f>
        <v>3.7593599999999998E-2</v>
      </c>
      <c r="E59" s="34"/>
      <c r="F59" s="37">
        <f t="shared" si="1"/>
        <v>-0.1745582916763713</v>
      </c>
      <c r="G59" s="37">
        <f t="shared" si="2"/>
        <v>-6.8482345838185646E-2</v>
      </c>
      <c r="H59" s="37">
        <f t="shared" si="3"/>
        <v>0.14366954583818564</v>
      </c>
      <c r="I59" s="37">
        <f t="shared" si="4"/>
        <v>0.24974549167637128</v>
      </c>
      <c r="K59" s="37">
        <f t="shared" si="8"/>
        <v>2.7906250000000032E-2</v>
      </c>
      <c r="L59" s="34">
        <v>0.06</v>
      </c>
      <c r="M59" s="27">
        <f t="shared" si="5"/>
        <v>4.00936E-2</v>
      </c>
      <c r="N59" s="37">
        <f t="shared" si="6"/>
        <v>4.2593599999999995E-2</v>
      </c>
      <c r="P59" s="37">
        <f>IF('Cap Pricer'!$G$27=DataValidation!$B$2,'Vols - Forward Curve'!I59,IF('Cap Pricer'!$G$27=DataValidation!$B$3,'Vols - Forward Curve'!H59,IF('Cap Pricer'!$G$27=DataValidation!$B$4,'Vols - Forward Curve'!D59,IF('Cap Pricer'!$G$27=DataValidation!$B$5,'Vols - Forward Curve'!G59,IF('Cap Pricer'!$G$27=DataValidation!$B$6,'Vols - Forward Curve'!F59,IF('Cap Pricer'!$G$27=DataValidation!$B$8,'Vols - Forward Curve'!K59,IF('Cap Pricer'!$G$27=DataValidation!$B$9,'Vols - Forward Curve'!L59,IF('Cap Pricer'!$G$27=DataValidation!$B$10,'Vols - Forward Curve'!M59,IF('Cap Pricer'!$G$27=DataValidation!$B$11,'Vols - Forward Curve'!N59,"")))))))))</f>
        <v>3.7593599999999998E-2</v>
      </c>
      <c r="S59" s="176">
        <f t="shared" si="7"/>
        <v>46929</v>
      </c>
      <c r="T59" s="172">
        <v>2.7906250000000032E-2</v>
      </c>
    </row>
    <row r="60" spans="1:20" x14ac:dyDescent="0.25">
      <c r="A60" s="33">
        <f>Volatilities_Resets!C62</f>
        <v>46959</v>
      </c>
      <c r="B60" s="130">
        <f>Volatilities_Resets!AC62/100</f>
        <v>1.2610999999999999</v>
      </c>
      <c r="C60" s="37"/>
      <c r="D60" s="130">
        <f>Volatilities_Resets!E62/100</f>
        <v>3.7599399999999998E-2</v>
      </c>
      <c r="E60" s="34"/>
      <c r="F60" s="37">
        <f t="shared" si="1"/>
        <v>-0.17238234499001406</v>
      </c>
      <c r="G60" s="37">
        <f t="shared" si="2"/>
        <v>-6.7391472495007029E-2</v>
      </c>
      <c r="H60" s="37">
        <f t="shared" si="3"/>
        <v>0.14259027249500703</v>
      </c>
      <c r="I60" s="37">
        <f t="shared" si="4"/>
        <v>0.24758114499001405</v>
      </c>
      <c r="K60" s="37">
        <f t="shared" si="8"/>
        <v>2.7859375000000033E-2</v>
      </c>
      <c r="L60" s="34">
        <v>0.06</v>
      </c>
      <c r="M60" s="27">
        <f t="shared" si="5"/>
        <v>4.00994E-2</v>
      </c>
      <c r="N60" s="37">
        <f t="shared" si="6"/>
        <v>4.2599399999999996E-2</v>
      </c>
      <c r="P60" s="37">
        <f>IF('Cap Pricer'!$G$27=DataValidation!$B$2,'Vols - Forward Curve'!I60,IF('Cap Pricer'!$G$27=DataValidation!$B$3,'Vols - Forward Curve'!H60,IF('Cap Pricer'!$G$27=DataValidation!$B$4,'Vols - Forward Curve'!D60,IF('Cap Pricer'!$G$27=DataValidation!$B$5,'Vols - Forward Curve'!G60,IF('Cap Pricer'!$G$27=DataValidation!$B$6,'Vols - Forward Curve'!F60,IF('Cap Pricer'!$G$27=DataValidation!$B$8,'Vols - Forward Curve'!K60,IF('Cap Pricer'!$G$27=DataValidation!$B$9,'Vols - Forward Curve'!L60,IF('Cap Pricer'!$G$27=DataValidation!$B$10,'Vols - Forward Curve'!M60,IF('Cap Pricer'!$G$27=DataValidation!$B$11,'Vols - Forward Curve'!N60,"")))))))))</f>
        <v>3.7599399999999998E-2</v>
      </c>
      <c r="S60" s="176">
        <f t="shared" si="7"/>
        <v>46959</v>
      </c>
      <c r="T60" s="172">
        <v>2.7859375000000033E-2</v>
      </c>
    </row>
    <row r="61" spans="1:20" x14ac:dyDescent="0.25">
      <c r="A61" s="33">
        <f>Volatilities_Resets!C63</f>
        <v>46990</v>
      </c>
      <c r="B61" s="130">
        <f>Volatilities_Resets!AC63/100</f>
        <v>1.2392000000000001</v>
      </c>
      <c r="C61" s="37"/>
      <c r="D61" s="130">
        <f>Volatilities_Resets!E63/100</f>
        <v>3.7597499999999999E-2</v>
      </c>
      <c r="E61" s="34"/>
      <c r="F61" s="37">
        <f t="shared" si="1"/>
        <v>-0.17053134982267032</v>
      </c>
      <c r="G61" s="37">
        <f t="shared" si="2"/>
        <v>-6.6466924911335157E-2</v>
      </c>
      <c r="H61" s="37">
        <f t="shared" si="3"/>
        <v>0.14166192491133517</v>
      </c>
      <c r="I61" s="37">
        <f t="shared" si="4"/>
        <v>0.2457263498226703</v>
      </c>
      <c r="K61" s="37">
        <f t="shared" si="8"/>
        <v>2.7812500000000035E-2</v>
      </c>
      <c r="L61" s="34">
        <v>0.06</v>
      </c>
      <c r="M61" s="27">
        <f t="shared" si="5"/>
        <v>4.0097500000000001E-2</v>
      </c>
      <c r="N61" s="37">
        <f t="shared" si="6"/>
        <v>4.2597499999999996E-2</v>
      </c>
      <c r="P61" s="37">
        <f>IF('Cap Pricer'!$G$27=DataValidation!$B$2,'Vols - Forward Curve'!I61,IF('Cap Pricer'!$G$27=DataValidation!$B$3,'Vols - Forward Curve'!H61,IF('Cap Pricer'!$G$27=DataValidation!$B$4,'Vols - Forward Curve'!D61,IF('Cap Pricer'!$G$27=DataValidation!$B$5,'Vols - Forward Curve'!G61,IF('Cap Pricer'!$G$27=DataValidation!$B$6,'Vols - Forward Curve'!F61,IF('Cap Pricer'!$G$27=DataValidation!$B$8,'Vols - Forward Curve'!K61,IF('Cap Pricer'!$G$27=DataValidation!$B$9,'Vols - Forward Curve'!L61,IF('Cap Pricer'!$G$27=DataValidation!$B$10,'Vols - Forward Curve'!M61,IF('Cap Pricer'!$G$27=DataValidation!$B$11,'Vols - Forward Curve'!N61,"")))))))))</f>
        <v>3.7597499999999999E-2</v>
      </c>
      <c r="S61" s="176">
        <f t="shared" si="7"/>
        <v>46990</v>
      </c>
      <c r="T61" s="172">
        <v>2.7812500000000035E-2</v>
      </c>
    </row>
    <row r="62" spans="1:20" x14ac:dyDescent="0.25">
      <c r="A62" s="33">
        <f>Volatilities_Resets!C64</f>
        <v>47021</v>
      </c>
      <c r="B62" s="130">
        <f>Volatilities_Resets!AC64/100</f>
        <v>1.2135</v>
      </c>
      <c r="C62" s="37"/>
      <c r="D62" s="130">
        <f>Volatilities_Resets!E64/100</f>
        <v>3.7837200000000001E-2</v>
      </c>
      <c r="E62" s="34"/>
      <c r="F62" s="37">
        <f t="shared" si="1"/>
        <v>-0.16903721842373184</v>
      </c>
      <c r="G62" s="37">
        <f t="shared" si="2"/>
        <v>-6.5600009211865914E-2</v>
      </c>
      <c r="H62" s="37">
        <f t="shared" si="3"/>
        <v>0.14127440921186593</v>
      </c>
      <c r="I62" s="37">
        <f t="shared" si="4"/>
        <v>0.24471161842373185</v>
      </c>
      <c r="K62" s="37">
        <f t="shared" si="8"/>
        <v>2.7765625000000037E-2</v>
      </c>
      <c r="L62" s="34">
        <v>0.06</v>
      </c>
      <c r="M62" s="27">
        <f t="shared" si="5"/>
        <v>4.0337200000000004E-2</v>
      </c>
      <c r="N62" s="37">
        <f t="shared" si="6"/>
        <v>4.2837199999999999E-2</v>
      </c>
      <c r="P62" s="37">
        <f>IF('Cap Pricer'!$G$27=DataValidation!$B$2,'Vols - Forward Curve'!I62,IF('Cap Pricer'!$G$27=DataValidation!$B$3,'Vols - Forward Curve'!H62,IF('Cap Pricer'!$G$27=DataValidation!$B$4,'Vols - Forward Curve'!D62,IF('Cap Pricer'!$G$27=DataValidation!$B$5,'Vols - Forward Curve'!G62,IF('Cap Pricer'!$G$27=DataValidation!$B$6,'Vols - Forward Curve'!F62,IF('Cap Pricer'!$G$27=DataValidation!$B$8,'Vols - Forward Curve'!K62,IF('Cap Pricer'!$G$27=DataValidation!$B$9,'Vols - Forward Curve'!L62,IF('Cap Pricer'!$G$27=DataValidation!$B$10,'Vols - Forward Curve'!M62,IF('Cap Pricer'!$G$27=DataValidation!$B$11,'Vols - Forward Curve'!N62,"")))))))))</f>
        <v>3.7837200000000001E-2</v>
      </c>
      <c r="S62" s="176">
        <f t="shared" si="7"/>
        <v>47021</v>
      </c>
      <c r="T62" s="172">
        <v>2.7765625000000037E-2</v>
      </c>
    </row>
    <row r="63" spans="1:20" x14ac:dyDescent="0.25">
      <c r="A63" s="33">
        <f>Volatilities_Resets!C65</f>
        <v>47051</v>
      </c>
      <c r="B63" s="130">
        <f>Volatilities_Resets!AC65/100</f>
        <v>1.2134</v>
      </c>
      <c r="C63" s="37"/>
      <c r="D63" s="130">
        <f>Volatilities_Resets!E65/100</f>
        <v>3.7860499999999998E-2</v>
      </c>
      <c r="E63" s="34"/>
      <c r="F63" s="37">
        <f t="shared" si="1"/>
        <v>-0.17081671541926716</v>
      </c>
      <c r="G63" s="37">
        <f t="shared" si="2"/>
        <v>-6.6478107709633583E-2</v>
      </c>
      <c r="H63" s="37">
        <f t="shared" si="3"/>
        <v>0.14219910770963359</v>
      </c>
      <c r="I63" s="37">
        <f t="shared" si="4"/>
        <v>0.24653771541926717</v>
      </c>
      <c r="K63" s="37">
        <f t="shared" si="8"/>
        <v>2.7718750000000038E-2</v>
      </c>
      <c r="L63" s="34">
        <v>0.06</v>
      </c>
      <c r="M63" s="27">
        <f t="shared" si="5"/>
        <v>4.0360500000000001E-2</v>
      </c>
      <c r="N63" s="37">
        <f t="shared" si="6"/>
        <v>4.2860499999999996E-2</v>
      </c>
      <c r="P63" s="37">
        <f>IF('Cap Pricer'!$G$27=DataValidation!$B$2,'Vols - Forward Curve'!I63,IF('Cap Pricer'!$G$27=DataValidation!$B$3,'Vols - Forward Curve'!H63,IF('Cap Pricer'!$G$27=DataValidation!$B$4,'Vols - Forward Curve'!D63,IF('Cap Pricer'!$G$27=DataValidation!$B$5,'Vols - Forward Curve'!G63,IF('Cap Pricer'!$G$27=DataValidation!$B$6,'Vols - Forward Curve'!F63,IF('Cap Pricer'!$G$27=DataValidation!$B$8,'Vols - Forward Curve'!K63,IF('Cap Pricer'!$G$27=DataValidation!$B$9,'Vols - Forward Curve'!L63,IF('Cap Pricer'!$G$27=DataValidation!$B$10,'Vols - Forward Curve'!M63,IF('Cap Pricer'!$G$27=DataValidation!$B$11,'Vols - Forward Curve'!N63,"")))))))))</f>
        <v>3.7860499999999998E-2</v>
      </c>
      <c r="S63" s="176">
        <f t="shared" si="7"/>
        <v>47051</v>
      </c>
      <c r="T63" s="172">
        <v>2.7718750000000038E-2</v>
      </c>
    </row>
    <row r="64" spans="1:20" x14ac:dyDescent="0.25">
      <c r="A64" s="33">
        <f>Volatilities_Resets!C66</f>
        <v>47082</v>
      </c>
      <c r="B64" s="130">
        <f>Volatilities_Resets!AC66/100</f>
        <v>1.2134</v>
      </c>
      <c r="C64" s="37"/>
      <c r="D64" s="130">
        <f>Volatilities_Resets!E66/100</f>
        <v>3.7854600000000002E-2</v>
      </c>
      <c r="E64" s="34"/>
      <c r="F64" s="37">
        <f t="shared" si="1"/>
        <v>-0.17252440285714907</v>
      </c>
      <c r="G64" s="37">
        <f t="shared" si="2"/>
        <v>-6.733490142857454E-2</v>
      </c>
      <c r="H64" s="37">
        <f t="shared" si="3"/>
        <v>0.14304410142857454</v>
      </c>
      <c r="I64" s="37">
        <f t="shared" si="4"/>
        <v>0.24823360285714907</v>
      </c>
      <c r="K64" s="37">
        <f t="shared" si="8"/>
        <v>2.767187500000004E-2</v>
      </c>
      <c r="L64" s="34">
        <v>0.06</v>
      </c>
      <c r="M64" s="27">
        <f t="shared" si="5"/>
        <v>4.0354600000000004E-2</v>
      </c>
      <c r="N64" s="37">
        <f t="shared" si="6"/>
        <v>4.28546E-2</v>
      </c>
      <c r="P64" s="37">
        <f>IF('Cap Pricer'!$G$27=DataValidation!$B$2,'Vols - Forward Curve'!I64,IF('Cap Pricer'!$G$27=DataValidation!$B$3,'Vols - Forward Curve'!H64,IF('Cap Pricer'!$G$27=DataValidation!$B$4,'Vols - Forward Curve'!D64,IF('Cap Pricer'!$G$27=DataValidation!$B$5,'Vols - Forward Curve'!G64,IF('Cap Pricer'!$G$27=DataValidation!$B$6,'Vols - Forward Curve'!F64,IF('Cap Pricer'!$G$27=DataValidation!$B$8,'Vols - Forward Curve'!K64,IF('Cap Pricer'!$G$27=DataValidation!$B$9,'Vols - Forward Curve'!L64,IF('Cap Pricer'!$G$27=DataValidation!$B$10,'Vols - Forward Curve'!M64,IF('Cap Pricer'!$G$27=DataValidation!$B$11,'Vols - Forward Curve'!N64,"")))))))))</f>
        <v>3.7854600000000002E-2</v>
      </c>
      <c r="S64" s="176">
        <f t="shared" si="7"/>
        <v>47082</v>
      </c>
      <c r="T64" s="172">
        <v>2.767187500000004E-2</v>
      </c>
    </row>
    <row r="65" spans="1:20" x14ac:dyDescent="0.25">
      <c r="A65" s="33">
        <f>Volatilities_Resets!C67</f>
        <v>47112</v>
      </c>
      <c r="B65" s="130">
        <f>Volatilities_Resets!AC67/100</f>
        <v>1.2134</v>
      </c>
      <c r="C65" s="37"/>
      <c r="D65" s="130">
        <f>Volatilities_Resets!E67/100</f>
        <v>3.7860499999999998E-2</v>
      </c>
      <c r="E65" s="34"/>
      <c r="F65" s="37">
        <f t="shared" si="1"/>
        <v>-0.17421640775750039</v>
      </c>
      <c r="G65" s="37">
        <f t="shared" si="2"/>
        <v>-6.8177953878750197E-2</v>
      </c>
      <c r="H65" s="37">
        <f t="shared" si="3"/>
        <v>0.14389895387875018</v>
      </c>
      <c r="I65" s="37">
        <f t="shared" si="4"/>
        <v>0.24993740775750037</v>
      </c>
      <c r="K65" s="37">
        <f t="shared" si="8"/>
        <v>2.7625000000000042E-2</v>
      </c>
      <c r="L65" s="34">
        <v>0.06</v>
      </c>
      <c r="M65" s="27">
        <f t="shared" si="5"/>
        <v>4.0360500000000001E-2</v>
      </c>
      <c r="N65" s="37">
        <f t="shared" si="6"/>
        <v>4.2860499999999996E-2</v>
      </c>
      <c r="P65" s="37">
        <f>IF('Cap Pricer'!$G$27=DataValidation!$B$2,'Vols - Forward Curve'!I65,IF('Cap Pricer'!$G$27=DataValidation!$B$3,'Vols - Forward Curve'!H65,IF('Cap Pricer'!$G$27=DataValidation!$B$4,'Vols - Forward Curve'!D65,IF('Cap Pricer'!$G$27=DataValidation!$B$5,'Vols - Forward Curve'!G65,IF('Cap Pricer'!$G$27=DataValidation!$B$6,'Vols - Forward Curve'!F65,IF('Cap Pricer'!$G$27=DataValidation!$B$8,'Vols - Forward Curve'!K65,IF('Cap Pricer'!$G$27=DataValidation!$B$9,'Vols - Forward Curve'!L65,IF('Cap Pricer'!$G$27=DataValidation!$B$10,'Vols - Forward Curve'!M65,IF('Cap Pricer'!$G$27=DataValidation!$B$11,'Vols - Forward Curve'!N65,"")))))))))</f>
        <v>3.7860499999999998E-2</v>
      </c>
      <c r="S65" s="176">
        <f t="shared" si="7"/>
        <v>47112</v>
      </c>
      <c r="T65" s="172">
        <v>2.7625000000000042E-2</v>
      </c>
    </row>
    <row r="66" spans="1:20" x14ac:dyDescent="0.25">
      <c r="A66" s="33">
        <f>Volatilities_Resets!C68</f>
        <v>47143</v>
      </c>
      <c r="B66" s="130">
        <f>Volatilities_Resets!AC68/100</f>
        <v>1.2134</v>
      </c>
      <c r="C66" s="37"/>
      <c r="D66" s="130">
        <f>Volatilities_Resets!E68/100</f>
        <v>3.7860499999999998E-2</v>
      </c>
      <c r="E66" s="34"/>
      <c r="F66" s="37">
        <f t="shared" si="1"/>
        <v>-0.17592340248547828</v>
      </c>
      <c r="G66" s="37">
        <f t="shared" si="2"/>
        <v>-6.9031451242739142E-2</v>
      </c>
      <c r="H66" s="37">
        <f t="shared" si="3"/>
        <v>0.14475245124273914</v>
      </c>
      <c r="I66" s="37">
        <f t="shared" si="4"/>
        <v>0.25164440248547826</v>
      </c>
      <c r="K66" s="37">
        <f t="shared" ref="K66:K85" si="9">VLOOKUP(A66,$S$2:$T$134,2,FALSE)</f>
        <v>2.7578125000000044E-2</v>
      </c>
      <c r="L66" s="34">
        <v>0.06</v>
      </c>
      <c r="M66" s="27">
        <f t="shared" si="5"/>
        <v>4.0360500000000001E-2</v>
      </c>
      <c r="N66" s="37">
        <f t="shared" si="6"/>
        <v>4.2860499999999996E-2</v>
      </c>
      <c r="P66" s="37">
        <f>IF('Cap Pricer'!$G$27=DataValidation!$B$2,'Vols - Forward Curve'!I66,IF('Cap Pricer'!$G$27=DataValidation!$B$3,'Vols - Forward Curve'!H66,IF('Cap Pricer'!$G$27=DataValidation!$B$4,'Vols - Forward Curve'!D66,IF('Cap Pricer'!$G$27=DataValidation!$B$5,'Vols - Forward Curve'!G66,IF('Cap Pricer'!$G$27=DataValidation!$B$6,'Vols - Forward Curve'!F66,IF('Cap Pricer'!$G$27=DataValidation!$B$8,'Vols - Forward Curve'!K66,IF('Cap Pricer'!$G$27=DataValidation!$B$9,'Vols - Forward Curve'!L66,IF('Cap Pricer'!$G$27=DataValidation!$B$10,'Vols - Forward Curve'!M66,IF('Cap Pricer'!$G$27=DataValidation!$B$11,'Vols - Forward Curve'!N66,"")))))))))</f>
        <v>3.7860499999999998E-2</v>
      </c>
      <c r="S66" s="176">
        <f t="shared" si="7"/>
        <v>47143</v>
      </c>
      <c r="T66" s="172">
        <v>2.7578125000000044E-2</v>
      </c>
    </row>
    <row r="67" spans="1:20" x14ac:dyDescent="0.25">
      <c r="A67" s="33">
        <f>Volatilities_Resets!C69</f>
        <v>47174</v>
      </c>
      <c r="B67" s="130">
        <f>Volatilities_Resets!AC69/100</f>
        <v>1.2135</v>
      </c>
      <c r="C67" s="37"/>
      <c r="D67" s="130">
        <f>Volatilities_Resets!E69/100</f>
        <v>3.7850599999999998E-2</v>
      </c>
      <c r="E67" s="34"/>
      <c r="F67" s="37">
        <f t="shared" ref="F67:F85" si="10">$D67*(1-(SQRT(YEARFRAC($A$2,$A67,2))*(2*$B67)))</f>
        <v>-0.17758818409577068</v>
      </c>
      <c r="G67" s="37">
        <f t="shared" ref="G67:G85" si="11">$D67*(1-(SQRT(YEARFRAC($A$2,$A67,2))*(1*$B67)))</f>
        <v>-6.9868792047885334E-2</v>
      </c>
      <c r="H67" s="37">
        <f t="shared" ref="H67:H85" si="12">$D67*(1+(SQRT(YEARFRAC($A$2,$A67,2))*(1*$B67)))</f>
        <v>0.14556999204788534</v>
      </c>
      <c r="I67" s="37">
        <f t="shared" ref="I67:I85" si="13">$D67*(1+(SQRT(YEARFRAC($A$2,$A67,2))*(2*$B67)))</f>
        <v>0.25328938409577068</v>
      </c>
      <c r="K67" s="37">
        <f t="shared" si="9"/>
        <v>2.7531250000000045E-2</v>
      </c>
      <c r="L67" s="34">
        <v>0.06</v>
      </c>
      <c r="M67" s="27">
        <f t="shared" ref="M67:M85" si="14">D67+0.25%</f>
        <v>4.03506E-2</v>
      </c>
      <c r="N67" s="37">
        <f t="shared" ref="N67:N85" si="15">D67+0.5%</f>
        <v>4.2850599999999996E-2</v>
      </c>
      <c r="P67" s="37">
        <f>IF('Cap Pricer'!$G$27=DataValidation!$B$2,'Vols - Forward Curve'!I67,IF('Cap Pricer'!$G$27=DataValidation!$B$3,'Vols - Forward Curve'!H67,IF('Cap Pricer'!$G$27=DataValidation!$B$4,'Vols - Forward Curve'!D67,IF('Cap Pricer'!$G$27=DataValidation!$B$5,'Vols - Forward Curve'!G67,IF('Cap Pricer'!$G$27=DataValidation!$B$6,'Vols - Forward Curve'!F67,IF('Cap Pricer'!$G$27=DataValidation!$B$8,'Vols - Forward Curve'!K67,IF('Cap Pricer'!$G$27=DataValidation!$B$9,'Vols - Forward Curve'!L67,IF('Cap Pricer'!$G$27=DataValidation!$B$10,'Vols - Forward Curve'!M67,IF('Cap Pricer'!$G$27=DataValidation!$B$11,'Vols - Forward Curve'!N67,"")))))))))</f>
        <v>3.7850599999999998E-2</v>
      </c>
      <c r="S67" s="176">
        <f t="shared" si="7"/>
        <v>47174</v>
      </c>
      <c r="T67" s="172">
        <v>2.7531250000000045E-2</v>
      </c>
    </row>
    <row r="68" spans="1:20" x14ac:dyDescent="0.25">
      <c r="A68" s="33">
        <f>Volatilities_Resets!C70</f>
        <v>47202</v>
      </c>
      <c r="B68" s="130">
        <f>Volatilities_Resets!AC70/100</f>
        <v>1.2134</v>
      </c>
      <c r="C68" s="37"/>
      <c r="D68" s="130">
        <f>Volatilities_Resets!E70/100</f>
        <v>3.7856599999999997E-2</v>
      </c>
      <c r="E68" s="34"/>
      <c r="F68" s="37">
        <f t="shared" si="10"/>
        <v>-0.17911665106745131</v>
      </c>
      <c r="G68" s="37">
        <f t="shared" si="11"/>
        <v>-7.063002553372566E-2</v>
      </c>
      <c r="H68" s="37">
        <f t="shared" si="12"/>
        <v>0.14634322553372567</v>
      </c>
      <c r="I68" s="37">
        <f t="shared" si="13"/>
        <v>0.25482985106745132</v>
      </c>
      <c r="K68" s="37">
        <f t="shared" si="9"/>
        <v>2.7484375000000047E-2</v>
      </c>
      <c r="L68" s="34">
        <v>0.06</v>
      </c>
      <c r="M68" s="27">
        <f t="shared" si="14"/>
        <v>4.0356599999999999E-2</v>
      </c>
      <c r="N68" s="37">
        <f t="shared" si="15"/>
        <v>4.2856599999999995E-2</v>
      </c>
      <c r="P68" s="37">
        <f>IF('Cap Pricer'!$G$27=DataValidation!$B$2,'Vols - Forward Curve'!I68,IF('Cap Pricer'!$G$27=DataValidation!$B$3,'Vols - Forward Curve'!H68,IF('Cap Pricer'!$G$27=DataValidation!$B$4,'Vols - Forward Curve'!D68,IF('Cap Pricer'!$G$27=DataValidation!$B$5,'Vols - Forward Curve'!G68,IF('Cap Pricer'!$G$27=DataValidation!$B$6,'Vols - Forward Curve'!F68,IF('Cap Pricer'!$G$27=DataValidation!$B$8,'Vols - Forward Curve'!K68,IF('Cap Pricer'!$G$27=DataValidation!$B$9,'Vols - Forward Curve'!L68,IF('Cap Pricer'!$G$27=DataValidation!$B$10,'Vols - Forward Curve'!M68,IF('Cap Pricer'!$G$27=DataValidation!$B$11,'Vols - Forward Curve'!N68,"")))))))))</f>
        <v>3.7856599999999997E-2</v>
      </c>
      <c r="S68" s="176">
        <f t="shared" ref="S68:S86" si="16">EDATE(S67,1)</f>
        <v>47202</v>
      </c>
      <c r="T68" s="172">
        <v>2.7484375000000047E-2</v>
      </c>
    </row>
    <row r="69" spans="1:20" x14ac:dyDescent="0.25">
      <c r="A69" s="33">
        <f>Volatilities_Resets!C71</f>
        <v>47233</v>
      </c>
      <c r="B69" s="130">
        <f>Volatilities_Resets!AC71/100</f>
        <v>1.2134</v>
      </c>
      <c r="C69" s="37"/>
      <c r="D69" s="130">
        <f>Volatilities_Resets!E71/100</f>
        <v>3.7854600000000002E-2</v>
      </c>
      <c r="E69" s="34"/>
      <c r="F69" s="37">
        <f t="shared" si="10"/>
        <v>-0.18077552860322241</v>
      </c>
      <c r="G69" s="37">
        <f t="shared" si="11"/>
        <v>-7.146046430161121E-2</v>
      </c>
      <c r="H69" s="37">
        <f t="shared" si="12"/>
        <v>0.14716966430161121</v>
      </c>
      <c r="I69" s="37">
        <f t="shared" si="13"/>
        <v>0.25648472860322241</v>
      </c>
      <c r="K69" s="37">
        <f t="shared" si="9"/>
        <v>2.7437500000000049E-2</v>
      </c>
      <c r="L69" s="34">
        <v>0.06</v>
      </c>
      <c r="M69" s="27">
        <f t="shared" si="14"/>
        <v>4.0354600000000004E-2</v>
      </c>
      <c r="N69" s="37">
        <f t="shared" si="15"/>
        <v>4.28546E-2</v>
      </c>
      <c r="P69" s="37">
        <f>IF('Cap Pricer'!$G$27=DataValidation!$B$2,'Vols - Forward Curve'!I69,IF('Cap Pricer'!$G$27=DataValidation!$B$3,'Vols - Forward Curve'!H69,IF('Cap Pricer'!$G$27=DataValidation!$B$4,'Vols - Forward Curve'!D69,IF('Cap Pricer'!$G$27=DataValidation!$B$5,'Vols - Forward Curve'!G69,IF('Cap Pricer'!$G$27=DataValidation!$B$6,'Vols - Forward Curve'!F69,IF('Cap Pricer'!$G$27=DataValidation!$B$8,'Vols - Forward Curve'!K69,IF('Cap Pricer'!$G$27=DataValidation!$B$9,'Vols - Forward Curve'!L69,IF('Cap Pricer'!$G$27=DataValidation!$B$10,'Vols - Forward Curve'!M69,IF('Cap Pricer'!$G$27=DataValidation!$B$11,'Vols - Forward Curve'!N69,"")))))))))</f>
        <v>3.7854600000000002E-2</v>
      </c>
      <c r="S69" s="176">
        <f t="shared" si="16"/>
        <v>47233</v>
      </c>
      <c r="T69" s="172">
        <v>2.7437500000000049E-2</v>
      </c>
    </row>
    <row r="70" spans="1:20" x14ac:dyDescent="0.25">
      <c r="A70" s="33">
        <f>Volatilities_Resets!C72</f>
        <v>47263</v>
      </c>
      <c r="B70" s="130">
        <f>Volatilities_Resets!AC72/100</f>
        <v>1.2135</v>
      </c>
      <c r="C70" s="37"/>
      <c r="D70" s="130">
        <f>Volatilities_Resets!E72/100</f>
        <v>3.7858599999999999E-2</v>
      </c>
      <c r="E70" s="34"/>
      <c r="F70" s="37">
        <f t="shared" si="10"/>
        <v>-0.1824154420031045</v>
      </c>
      <c r="G70" s="37">
        <f t="shared" si="11"/>
        <v>-7.2278421001552254E-2</v>
      </c>
      <c r="H70" s="37">
        <f t="shared" si="12"/>
        <v>0.14799562100155225</v>
      </c>
      <c r="I70" s="37">
        <f t="shared" si="13"/>
        <v>0.25813264200310448</v>
      </c>
      <c r="K70" s="37">
        <f t="shared" si="9"/>
        <v>2.739062500000005E-2</v>
      </c>
      <c r="L70" s="34">
        <v>0.06</v>
      </c>
      <c r="M70" s="27">
        <f t="shared" si="14"/>
        <v>4.0358600000000001E-2</v>
      </c>
      <c r="N70" s="37">
        <f t="shared" si="15"/>
        <v>4.2858599999999997E-2</v>
      </c>
      <c r="P70" s="37">
        <f>IF('Cap Pricer'!$G$27=DataValidation!$B$2,'Vols - Forward Curve'!I70,IF('Cap Pricer'!$G$27=DataValidation!$B$3,'Vols - Forward Curve'!H70,IF('Cap Pricer'!$G$27=DataValidation!$B$4,'Vols - Forward Curve'!D70,IF('Cap Pricer'!$G$27=DataValidation!$B$5,'Vols - Forward Curve'!G70,IF('Cap Pricer'!$G$27=DataValidation!$B$6,'Vols - Forward Curve'!F70,IF('Cap Pricer'!$G$27=DataValidation!$B$8,'Vols - Forward Curve'!K70,IF('Cap Pricer'!$G$27=DataValidation!$B$9,'Vols - Forward Curve'!L70,IF('Cap Pricer'!$G$27=DataValidation!$B$10,'Vols - Forward Curve'!M70,IF('Cap Pricer'!$G$27=DataValidation!$B$11,'Vols - Forward Curve'!N70,"")))))))))</f>
        <v>3.7858599999999999E-2</v>
      </c>
      <c r="S70" s="176">
        <f t="shared" si="16"/>
        <v>47263</v>
      </c>
      <c r="T70" s="172">
        <v>2.739062500000005E-2</v>
      </c>
    </row>
    <row r="71" spans="1:20" x14ac:dyDescent="0.25">
      <c r="A71" s="33">
        <f>Volatilities_Resets!C73</f>
        <v>47294</v>
      </c>
      <c r="B71" s="130">
        <f>Volatilities_Resets!AC73/100</f>
        <v>1.2135</v>
      </c>
      <c r="C71" s="37"/>
      <c r="D71" s="130">
        <f>Volatilities_Resets!E73/100</f>
        <v>3.7854600000000002E-2</v>
      </c>
      <c r="E71" s="34"/>
      <c r="F71" s="37">
        <f t="shared" si="10"/>
        <v>-0.18404005178631447</v>
      </c>
      <c r="G71" s="37">
        <f t="shared" si="11"/>
        <v>-7.3092725893157226E-2</v>
      </c>
      <c r="H71" s="37">
        <f t="shared" si="12"/>
        <v>0.14880192589315724</v>
      </c>
      <c r="I71" s="37">
        <f t="shared" si="13"/>
        <v>0.25974925178631447</v>
      </c>
      <c r="K71" s="37">
        <f t="shared" si="9"/>
        <v>2.7343750000000052E-2</v>
      </c>
      <c r="L71" s="34">
        <v>0.06</v>
      </c>
      <c r="M71" s="27">
        <f t="shared" si="14"/>
        <v>4.0354600000000004E-2</v>
      </c>
      <c r="N71" s="37">
        <f t="shared" si="15"/>
        <v>4.28546E-2</v>
      </c>
      <c r="P71" s="37">
        <f>IF('Cap Pricer'!$G$27=DataValidation!$B$2,'Vols - Forward Curve'!I71,IF('Cap Pricer'!$G$27=DataValidation!$B$3,'Vols - Forward Curve'!H71,IF('Cap Pricer'!$G$27=DataValidation!$B$4,'Vols - Forward Curve'!D71,IF('Cap Pricer'!$G$27=DataValidation!$B$5,'Vols - Forward Curve'!G71,IF('Cap Pricer'!$G$27=DataValidation!$B$6,'Vols - Forward Curve'!F71,IF('Cap Pricer'!$G$27=DataValidation!$B$8,'Vols - Forward Curve'!K71,IF('Cap Pricer'!$G$27=DataValidation!$B$9,'Vols - Forward Curve'!L71,IF('Cap Pricer'!$G$27=DataValidation!$B$10,'Vols - Forward Curve'!M71,IF('Cap Pricer'!$G$27=DataValidation!$B$11,'Vols - Forward Curve'!N71,"")))))))))</f>
        <v>3.7854600000000002E-2</v>
      </c>
      <c r="S71" s="176">
        <f t="shared" si="16"/>
        <v>47294</v>
      </c>
      <c r="T71" s="172">
        <v>2.7343750000000052E-2</v>
      </c>
    </row>
    <row r="72" spans="1:20" x14ac:dyDescent="0.25">
      <c r="A72" s="33">
        <f>Volatilities_Resets!C74</f>
        <v>47324</v>
      </c>
      <c r="B72" s="130">
        <f>Volatilities_Resets!AC74/100</f>
        <v>1.1887000000000001</v>
      </c>
      <c r="C72" s="37"/>
      <c r="D72" s="130">
        <f>Volatilities_Resets!E74/100</f>
        <v>3.7860499999999998E-2</v>
      </c>
      <c r="E72" s="34"/>
      <c r="F72" s="37">
        <f t="shared" si="10"/>
        <v>-0.18108052896766508</v>
      </c>
      <c r="G72" s="37">
        <f t="shared" si="11"/>
        <v>-7.1610014483832543E-2</v>
      </c>
      <c r="H72" s="37">
        <f t="shared" si="12"/>
        <v>0.14733101448383254</v>
      </c>
      <c r="I72" s="37">
        <f t="shared" si="13"/>
        <v>0.25680152896766506</v>
      </c>
      <c r="K72" s="37">
        <f t="shared" si="9"/>
        <v>2.7296875000000054E-2</v>
      </c>
      <c r="L72" s="34">
        <v>0.06</v>
      </c>
      <c r="M72" s="27">
        <f t="shared" si="14"/>
        <v>4.0360500000000001E-2</v>
      </c>
      <c r="N72" s="37">
        <f t="shared" si="15"/>
        <v>4.2860499999999996E-2</v>
      </c>
      <c r="P72" s="37">
        <f>IF('Cap Pricer'!$G$27=DataValidation!$B$2,'Vols - Forward Curve'!I72,IF('Cap Pricer'!$G$27=DataValidation!$B$3,'Vols - Forward Curve'!H72,IF('Cap Pricer'!$G$27=DataValidation!$B$4,'Vols - Forward Curve'!D72,IF('Cap Pricer'!$G$27=DataValidation!$B$5,'Vols - Forward Curve'!G72,IF('Cap Pricer'!$G$27=DataValidation!$B$6,'Vols - Forward Curve'!F72,IF('Cap Pricer'!$G$27=DataValidation!$B$8,'Vols - Forward Curve'!K72,IF('Cap Pricer'!$G$27=DataValidation!$B$9,'Vols - Forward Curve'!L72,IF('Cap Pricer'!$G$27=DataValidation!$B$10,'Vols - Forward Curve'!M72,IF('Cap Pricer'!$G$27=DataValidation!$B$11,'Vols - Forward Curve'!N72,"")))))))))</f>
        <v>3.7860499999999998E-2</v>
      </c>
      <c r="S72" s="176">
        <f t="shared" si="16"/>
        <v>47324</v>
      </c>
      <c r="T72" s="172">
        <v>2.7296875000000054E-2</v>
      </c>
    </row>
    <row r="73" spans="1:20" x14ac:dyDescent="0.25">
      <c r="A73" s="33">
        <f>Volatilities_Resets!C75</f>
        <v>47355</v>
      </c>
      <c r="B73" s="130">
        <f>Volatilities_Resets!AC75/100</f>
        <v>1.1648000000000001</v>
      </c>
      <c r="C73" s="37"/>
      <c r="D73" s="130">
        <f>Volatilities_Resets!E75/100</f>
        <v>3.7856599999999997E-2</v>
      </c>
      <c r="E73" s="34"/>
      <c r="F73" s="37">
        <f t="shared" si="10"/>
        <v>-0.17821570104895482</v>
      </c>
      <c r="G73" s="37">
        <f t="shared" si="11"/>
        <v>-7.0179550524477399E-2</v>
      </c>
      <c r="H73" s="37">
        <f t="shared" si="12"/>
        <v>0.14589275052447739</v>
      </c>
      <c r="I73" s="37">
        <f t="shared" si="13"/>
        <v>0.25392890104895482</v>
      </c>
      <c r="K73" s="37">
        <f t="shared" si="9"/>
        <v>2.7250000000000055E-2</v>
      </c>
      <c r="L73" s="34">
        <v>0.06</v>
      </c>
      <c r="M73" s="27">
        <f t="shared" si="14"/>
        <v>4.0356599999999999E-2</v>
      </c>
      <c r="N73" s="37">
        <f t="shared" si="15"/>
        <v>4.2856599999999995E-2</v>
      </c>
      <c r="P73" s="37">
        <f>IF('Cap Pricer'!$G$27=DataValidation!$B$2,'Vols - Forward Curve'!I73,IF('Cap Pricer'!$G$27=DataValidation!$B$3,'Vols - Forward Curve'!H73,IF('Cap Pricer'!$G$27=DataValidation!$B$4,'Vols - Forward Curve'!D73,IF('Cap Pricer'!$G$27=DataValidation!$B$5,'Vols - Forward Curve'!G73,IF('Cap Pricer'!$G$27=DataValidation!$B$6,'Vols - Forward Curve'!F73,IF('Cap Pricer'!$G$27=DataValidation!$B$8,'Vols - Forward Curve'!K73,IF('Cap Pricer'!$G$27=DataValidation!$B$9,'Vols - Forward Curve'!L73,IF('Cap Pricer'!$G$27=DataValidation!$B$10,'Vols - Forward Curve'!M73,IF('Cap Pricer'!$G$27=DataValidation!$B$11,'Vols - Forward Curve'!N73,"")))))))))</f>
        <v>3.7856599999999997E-2</v>
      </c>
      <c r="S73" s="176">
        <f t="shared" si="16"/>
        <v>47355</v>
      </c>
      <c r="T73" s="172">
        <v>2.7250000000000055E-2</v>
      </c>
    </row>
    <row r="74" spans="1:20" x14ac:dyDescent="0.25">
      <c r="A74" s="33">
        <f>Volatilities_Resets!C76</f>
        <v>47386</v>
      </c>
      <c r="B74" s="130">
        <f>Volatilities_Resets!AC76/100</f>
        <v>1.1395999999999999</v>
      </c>
      <c r="C74" s="37"/>
      <c r="D74" s="130">
        <f>Volatilities_Resets!E76/100</f>
        <v>3.7944600000000002E-2</v>
      </c>
      <c r="E74" s="34"/>
      <c r="F74" s="37">
        <f t="shared" si="10"/>
        <v>-0.17545885174512402</v>
      </c>
      <c r="G74" s="37">
        <f t="shared" si="11"/>
        <v>-6.8757125872562011E-2</v>
      </c>
      <c r="H74" s="37">
        <f t="shared" si="12"/>
        <v>0.14464632587256201</v>
      </c>
      <c r="I74" s="37">
        <f t="shared" si="13"/>
        <v>0.25134805174512403</v>
      </c>
      <c r="K74" s="37">
        <f t="shared" si="9"/>
        <v>2.7203125000000057E-2</v>
      </c>
      <c r="L74" s="34">
        <v>0.06</v>
      </c>
      <c r="M74" s="27">
        <f t="shared" si="14"/>
        <v>4.0444600000000004E-2</v>
      </c>
      <c r="N74" s="37">
        <f t="shared" si="15"/>
        <v>4.2944599999999999E-2</v>
      </c>
      <c r="P74" s="37">
        <f>IF('Cap Pricer'!$G$27=DataValidation!$B$2,'Vols - Forward Curve'!I74,IF('Cap Pricer'!$G$27=DataValidation!$B$3,'Vols - Forward Curve'!H74,IF('Cap Pricer'!$G$27=DataValidation!$B$4,'Vols - Forward Curve'!D74,IF('Cap Pricer'!$G$27=DataValidation!$B$5,'Vols - Forward Curve'!G74,IF('Cap Pricer'!$G$27=DataValidation!$B$6,'Vols - Forward Curve'!F74,IF('Cap Pricer'!$G$27=DataValidation!$B$8,'Vols - Forward Curve'!K74,IF('Cap Pricer'!$G$27=DataValidation!$B$9,'Vols - Forward Curve'!L74,IF('Cap Pricer'!$G$27=DataValidation!$B$10,'Vols - Forward Curve'!M74,IF('Cap Pricer'!$G$27=DataValidation!$B$11,'Vols - Forward Curve'!N74,"")))))))))</f>
        <v>3.7944600000000002E-2</v>
      </c>
      <c r="S74" s="176">
        <f t="shared" si="16"/>
        <v>47386</v>
      </c>
      <c r="T74" s="172">
        <v>2.7203125000000057E-2</v>
      </c>
    </row>
    <row r="75" spans="1:20" x14ac:dyDescent="0.25">
      <c r="A75" s="33">
        <f>Volatilities_Resets!C77</f>
        <v>47416</v>
      </c>
      <c r="B75" s="130">
        <f>Volatilities_Resets!AC77/100</f>
        <v>1.1395</v>
      </c>
      <c r="C75" s="37"/>
      <c r="D75" s="130">
        <f>Volatilities_Resets!E77/100</f>
        <v>3.7957100000000001E-2</v>
      </c>
      <c r="E75" s="34"/>
      <c r="F75" s="37">
        <f t="shared" si="10"/>
        <v>-0.17695364324989704</v>
      </c>
      <c r="G75" s="37">
        <f t="shared" si="11"/>
        <v>-6.9498271624948524E-2</v>
      </c>
      <c r="H75" s="37">
        <f t="shared" si="12"/>
        <v>0.14541247162494852</v>
      </c>
      <c r="I75" s="37">
        <f t="shared" si="13"/>
        <v>0.25286784324989703</v>
      </c>
      <c r="K75" s="37">
        <f t="shared" si="9"/>
        <v>2.7156250000000059E-2</v>
      </c>
      <c r="L75" s="34">
        <v>0.06</v>
      </c>
      <c r="M75" s="27">
        <f t="shared" si="14"/>
        <v>4.0457100000000003E-2</v>
      </c>
      <c r="N75" s="37">
        <f t="shared" si="15"/>
        <v>4.2957099999999998E-2</v>
      </c>
      <c r="P75" s="37">
        <f>IF('Cap Pricer'!$G$27=DataValidation!$B$2,'Vols - Forward Curve'!I75,IF('Cap Pricer'!$G$27=DataValidation!$B$3,'Vols - Forward Curve'!H75,IF('Cap Pricer'!$G$27=DataValidation!$B$4,'Vols - Forward Curve'!D75,IF('Cap Pricer'!$G$27=DataValidation!$B$5,'Vols - Forward Curve'!G75,IF('Cap Pricer'!$G$27=DataValidation!$B$6,'Vols - Forward Curve'!F75,IF('Cap Pricer'!$G$27=DataValidation!$B$8,'Vols - Forward Curve'!K75,IF('Cap Pricer'!$G$27=DataValidation!$B$9,'Vols - Forward Curve'!L75,IF('Cap Pricer'!$G$27=DataValidation!$B$10,'Vols - Forward Curve'!M75,IF('Cap Pricer'!$G$27=DataValidation!$B$11,'Vols - Forward Curve'!N75,"")))))))))</f>
        <v>3.7957100000000001E-2</v>
      </c>
      <c r="S75" s="176">
        <f t="shared" si="16"/>
        <v>47416</v>
      </c>
      <c r="T75" s="172">
        <v>2.7156250000000059E-2</v>
      </c>
    </row>
    <row r="76" spans="1:20" x14ac:dyDescent="0.25">
      <c r="A76" s="33">
        <f>Volatilities_Resets!C78</f>
        <v>47447</v>
      </c>
      <c r="B76" s="130">
        <f>Volatilities_Resets!AC78/100</f>
        <v>1.1395</v>
      </c>
      <c r="C76" s="37"/>
      <c r="D76" s="130">
        <f>Volatilities_Resets!E78/100</f>
        <v>3.7951100000000001E-2</v>
      </c>
      <c r="E76" s="34"/>
      <c r="F76" s="37">
        <f t="shared" si="10"/>
        <v>-0.17841939515986416</v>
      </c>
      <c r="G76" s="37">
        <f t="shared" si="11"/>
        <v>-7.0234147579932071E-2</v>
      </c>
      <c r="H76" s="37">
        <f t="shared" si="12"/>
        <v>0.14613634757993207</v>
      </c>
      <c r="I76" s="37">
        <f t="shared" si="13"/>
        <v>0.25432159515986413</v>
      </c>
      <c r="K76" s="37">
        <f t="shared" si="9"/>
        <v>2.7109375000000061E-2</v>
      </c>
      <c r="L76" s="34">
        <v>0.06</v>
      </c>
      <c r="M76" s="27">
        <f t="shared" si="14"/>
        <v>4.0451100000000004E-2</v>
      </c>
      <c r="N76" s="37">
        <f t="shared" si="15"/>
        <v>4.2951099999999999E-2</v>
      </c>
      <c r="P76" s="37">
        <f>IF('Cap Pricer'!$G$27=DataValidation!$B$2,'Vols - Forward Curve'!I76,IF('Cap Pricer'!$G$27=DataValidation!$B$3,'Vols - Forward Curve'!H76,IF('Cap Pricer'!$G$27=DataValidation!$B$4,'Vols - Forward Curve'!D76,IF('Cap Pricer'!$G$27=DataValidation!$B$5,'Vols - Forward Curve'!G76,IF('Cap Pricer'!$G$27=DataValidation!$B$6,'Vols - Forward Curve'!F76,IF('Cap Pricer'!$G$27=DataValidation!$B$8,'Vols - Forward Curve'!K76,IF('Cap Pricer'!$G$27=DataValidation!$B$9,'Vols - Forward Curve'!L76,IF('Cap Pricer'!$G$27=DataValidation!$B$10,'Vols - Forward Curve'!M76,IF('Cap Pricer'!$G$27=DataValidation!$B$11,'Vols - Forward Curve'!N76,"")))))))))</f>
        <v>3.7951100000000001E-2</v>
      </c>
      <c r="S76" s="176">
        <f t="shared" si="16"/>
        <v>47447</v>
      </c>
      <c r="T76" s="172">
        <v>2.7109375000000061E-2</v>
      </c>
    </row>
    <row r="77" spans="1:20" x14ac:dyDescent="0.25">
      <c r="A77" s="33">
        <f>Volatilities_Resets!C79</f>
        <v>47477</v>
      </c>
      <c r="B77" s="130">
        <f>Volatilities_Resets!AC79/100</f>
        <v>1.1395</v>
      </c>
      <c r="C77" s="37"/>
      <c r="D77" s="130">
        <f>Volatilities_Resets!E79/100</f>
        <v>3.7955099999999999E-2</v>
      </c>
      <c r="E77" s="34"/>
      <c r="F77" s="37">
        <f t="shared" si="10"/>
        <v>-0.1798741371404935</v>
      </c>
      <c r="G77" s="37">
        <f t="shared" si="11"/>
        <v>-7.0959518570246738E-2</v>
      </c>
      <c r="H77" s="37">
        <f t="shared" si="12"/>
        <v>0.14686971857024675</v>
      </c>
      <c r="I77" s="37">
        <f t="shared" si="13"/>
        <v>0.25578433714049348</v>
      </c>
      <c r="K77" s="37">
        <f t="shared" si="9"/>
        <v>2.7062500000000062E-2</v>
      </c>
      <c r="L77" s="34">
        <v>0.06</v>
      </c>
      <c r="M77" s="27">
        <f t="shared" si="14"/>
        <v>4.0455100000000001E-2</v>
      </c>
      <c r="N77" s="37">
        <f t="shared" si="15"/>
        <v>4.2955099999999996E-2</v>
      </c>
      <c r="P77" s="37">
        <f>IF('Cap Pricer'!$G$27=DataValidation!$B$2,'Vols - Forward Curve'!I77,IF('Cap Pricer'!$G$27=DataValidation!$B$3,'Vols - Forward Curve'!H77,IF('Cap Pricer'!$G$27=DataValidation!$B$4,'Vols - Forward Curve'!D77,IF('Cap Pricer'!$G$27=DataValidation!$B$5,'Vols - Forward Curve'!G77,IF('Cap Pricer'!$G$27=DataValidation!$B$6,'Vols - Forward Curve'!F77,IF('Cap Pricer'!$G$27=DataValidation!$B$8,'Vols - Forward Curve'!K77,IF('Cap Pricer'!$G$27=DataValidation!$B$9,'Vols - Forward Curve'!L77,IF('Cap Pricer'!$G$27=DataValidation!$B$10,'Vols - Forward Curve'!M77,IF('Cap Pricer'!$G$27=DataValidation!$B$11,'Vols - Forward Curve'!N77,"")))))))))</f>
        <v>3.7955099999999999E-2</v>
      </c>
      <c r="S77" s="176">
        <f t="shared" si="16"/>
        <v>47477</v>
      </c>
      <c r="T77" s="172">
        <v>2.7062500000000062E-2</v>
      </c>
    </row>
    <row r="78" spans="1:20" x14ac:dyDescent="0.25">
      <c r="A78" s="33">
        <f>Volatilities_Resets!C80</f>
        <v>47508</v>
      </c>
      <c r="B78" s="130">
        <f>Volatilities_Resets!AC80/100</f>
        <v>1.1395</v>
      </c>
      <c r="C78" s="37"/>
      <c r="D78" s="130">
        <f>Volatilities_Resets!E80/100</f>
        <v>3.7955099999999999E-2</v>
      </c>
      <c r="E78" s="34"/>
      <c r="F78" s="37">
        <f t="shared" si="10"/>
        <v>-0.18134806126642652</v>
      </c>
      <c r="G78" s="37">
        <f t="shared" si="11"/>
        <v>-7.1696480633213266E-2</v>
      </c>
      <c r="H78" s="37">
        <f t="shared" si="12"/>
        <v>0.14760668063321325</v>
      </c>
      <c r="I78" s="37">
        <f t="shared" si="13"/>
        <v>0.25725826126642654</v>
      </c>
      <c r="K78" s="37">
        <f t="shared" si="9"/>
        <v>2.7015625000000064E-2</v>
      </c>
      <c r="L78" s="34">
        <v>0.06</v>
      </c>
      <c r="M78" s="27">
        <f t="shared" si="14"/>
        <v>4.0455100000000001E-2</v>
      </c>
      <c r="N78" s="37">
        <f t="shared" si="15"/>
        <v>4.2955099999999996E-2</v>
      </c>
      <c r="P78" s="37">
        <f>IF('Cap Pricer'!$G$27=DataValidation!$B$2,'Vols - Forward Curve'!I78,IF('Cap Pricer'!$G$27=DataValidation!$B$3,'Vols - Forward Curve'!H78,IF('Cap Pricer'!$G$27=DataValidation!$B$4,'Vols - Forward Curve'!D78,IF('Cap Pricer'!$G$27=DataValidation!$B$5,'Vols - Forward Curve'!G78,IF('Cap Pricer'!$G$27=DataValidation!$B$6,'Vols - Forward Curve'!F78,IF('Cap Pricer'!$G$27=DataValidation!$B$8,'Vols - Forward Curve'!K78,IF('Cap Pricer'!$G$27=DataValidation!$B$9,'Vols - Forward Curve'!L78,IF('Cap Pricer'!$G$27=DataValidation!$B$10,'Vols - Forward Curve'!M78,IF('Cap Pricer'!$G$27=DataValidation!$B$11,'Vols - Forward Curve'!N78,"")))))))))</f>
        <v>3.7955099999999999E-2</v>
      </c>
      <c r="S78" s="176">
        <f t="shared" si="16"/>
        <v>47508</v>
      </c>
      <c r="T78" s="172">
        <v>2.7015625000000064E-2</v>
      </c>
    </row>
    <row r="79" spans="1:20" x14ac:dyDescent="0.25">
      <c r="A79" s="33">
        <f>Volatilities_Resets!C81</f>
        <v>47539</v>
      </c>
      <c r="B79" s="130">
        <f>Volatilities_Resets!AC81/100</f>
        <v>1.1395999999999999</v>
      </c>
      <c r="C79" s="37"/>
      <c r="D79" s="130">
        <f>Volatilities_Resets!E81/100</f>
        <v>3.7947099999999997E-2</v>
      </c>
      <c r="E79" s="34"/>
      <c r="F79" s="37">
        <f t="shared" si="10"/>
        <v>-0.18279298281204179</v>
      </c>
      <c r="G79" s="37">
        <f t="shared" si="11"/>
        <v>-7.2422941406020888E-2</v>
      </c>
      <c r="H79" s="37">
        <f t="shared" si="12"/>
        <v>0.1483171414060209</v>
      </c>
      <c r="I79" s="37">
        <f t="shared" si="13"/>
        <v>0.25868718281204178</v>
      </c>
      <c r="K79" s="37">
        <f t="shared" si="9"/>
        <v>2.6968750000000066E-2</v>
      </c>
      <c r="L79" s="34">
        <v>0.06</v>
      </c>
      <c r="M79" s="27">
        <f t="shared" si="14"/>
        <v>4.04471E-2</v>
      </c>
      <c r="N79" s="37">
        <f t="shared" si="15"/>
        <v>4.2947099999999995E-2</v>
      </c>
      <c r="P79" s="37">
        <f>IF('Cap Pricer'!$G$27=DataValidation!$B$2,'Vols - Forward Curve'!I79,IF('Cap Pricer'!$G$27=DataValidation!$B$3,'Vols - Forward Curve'!H79,IF('Cap Pricer'!$G$27=DataValidation!$B$4,'Vols - Forward Curve'!D79,IF('Cap Pricer'!$G$27=DataValidation!$B$5,'Vols - Forward Curve'!G79,IF('Cap Pricer'!$G$27=DataValidation!$B$6,'Vols - Forward Curve'!F79,IF('Cap Pricer'!$G$27=DataValidation!$B$8,'Vols - Forward Curve'!K79,IF('Cap Pricer'!$G$27=DataValidation!$B$9,'Vols - Forward Curve'!L79,IF('Cap Pricer'!$G$27=DataValidation!$B$10,'Vols - Forward Curve'!M79,IF('Cap Pricer'!$G$27=DataValidation!$B$11,'Vols - Forward Curve'!N79,"")))))))))</f>
        <v>3.7947099999999997E-2</v>
      </c>
      <c r="S79" s="176">
        <f t="shared" si="16"/>
        <v>47539</v>
      </c>
      <c r="T79" s="172">
        <v>2.6968750000000066E-2</v>
      </c>
    </row>
    <row r="80" spans="1:20" x14ac:dyDescent="0.25">
      <c r="A80" s="33">
        <f>Volatilities_Resets!C82</f>
        <v>47567</v>
      </c>
      <c r="B80" s="130">
        <f>Volatilities_Resets!AC82/100</f>
        <v>1.1395999999999999</v>
      </c>
      <c r="C80" s="37"/>
      <c r="D80" s="130">
        <f>Volatilities_Resets!E82/100</f>
        <v>3.7953100000000003E-2</v>
      </c>
      <c r="E80" s="34"/>
      <c r="F80" s="37">
        <f t="shared" si="10"/>
        <v>-0.18413603351894237</v>
      </c>
      <c r="G80" s="37">
        <f t="shared" si="11"/>
        <v>-7.3091466759471174E-2</v>
      </c>
      <c r="H80" s="37">
        <f t="shared" si="12"/>
        <v>0.14899766675947118</v>
      </c>
      <c r="I80" s="37">
        <f t="shared" si="13"/>
        <v>0.26004223351894235</v>
      </c>
      <c r="K80" s="37">
        <f t="shared" si="9"/>
        <v>2.6921875000000067E-2</v>
      </c>
      <c r="L80" s="34">
        <v>0.06</v>
      </c>
      <c r="M80" s="27">
        <f t="shared" si="14"/>
        <v>4.0453100000000006E-2</v>
      </c>
      <c r="N80" s="37">
        <f t="shared" si="15"/>
        <v>4.2953100000000001E-2</v>
      </c>
      <c r="P80" s="37">
        <f>IF('Cap Pricer'!$G$27=DataValidation!$B$2,'Vols - Forward Curve'!I80,IF('Cap Pricer'!$G$27=DataValidation!$B$3,'Vols - Forward Curve'!H80,IF('Cap Pricer'!$G$27=DataValidation!$B$4,'Vols - Forward Curve'!D80,IF('Cap Pricer'!$G$27=DataValidation!$B$5,'Vols - Forward Curve'!G80,IF('Cap Pricer'!$G$27=DataValidation!$B$6,'Vols - Forward Curve'!F80,IF('Cap Pricer'!$G$27=DataValidation!$B$8,'Vols - Forward Curve'!K80,IF('Cap Pricer'!$G$27=DataValidation!$B$9,'Vols - Forward Curve'!L80,IF('Cap Pricer'!$G$27=DataValidation!$B$10,'Vols - Forward Curve'!M80,IF('Cap Pricer'!$G$27=DataValidation!$B$11,'Vols - Forward Curve'!N80,"")))))))))</f>
        <v>3.7953100000000003E-2</v>
      </c>
      <c r="S80" s="176">
        <f t="shared" si="16"/>
        <v>47567</v>
      </c>
      <c r="T80" s="172">
        <v>2.6921875000000067E-2</v>
      </c>
    </row>
    <row r="81" spans="1:20" x14ac:dyDescent="0.25">
      <c r="A81" s="33">
        <f>Volatilities_Resets!C83</f>
        <v>47598</v>
      </c>
      <c r="B81" s="130">
        <f>Volatilities_Resets!AC83/100</f>
        <v>1.1395</v>
      </c>
      <c r="C81" s="37"/>
      <c r="D81" s="130">
        <f>Volatilities_Resets!E83/100</f>
        <v>3.7951100000000001E-2</v>
      </c>
      <c r="E81" s="34"/>
      <c r="F81" s="37">
        <f t="shared" si="10"/>
        <v>-0.18555257822367677</v>
      </c>
      <c r="G81" s="37">
        <f t="shared" si="11"/>
        <v>-7.3800739111838376E-2</v>
      </c>
      <c r="H81" s="37">
        <f t="shared" si="12"/>
        <v>0.14970293911183838</v>
      </c>
      <c r="I81" s="37">
        <f t="shared" si="13"/>
        <v>0.26145477822367674</v>
      </c>
      <c r="K81" s="37">
        <f t="shared" si="9"/>
        <v>2.6875000000000069E-2</v>
      </c>
      <c r="L81" s="34">
        <v>0.06</v>
      </c>
      <c r="M81" s="27">
        <f t="shared" si="14"/>
        <v>4.0451100000000004E-2</v>
      </c>
      <c r="N81" s="37">
        <f t="shared" si="15"/>
        <v>4.2951099999999999E-2</v>
      </c>
      <c r="P81" s="37">
        <f>IF('Cap Pricer'!$G$27=DataValidation!$B$2,'Vols - Forward Curve'!I81,IF('Cap Pricer'!$G$27=DataValidation!$B$3,'Vols - Forward Curve'!H81,IF('Cap Pricer'!$G$27=DataValidation!$B$4,'Vols - Forward Curve'!D81,IF('Cap Pricer'!$G$27=DataValidation!$B$5,'Vols - Forward Curve'!G81,IF('Cap Pricer'!$G$27=DataValidation!$B$6,'Vols - Forward Curve'!F81,IF('Cap Pricer'!$G$27=DataValidation!$B$8,'Vols - Forward Curve'!K81,IF('Cap Pricer'!$G$27=DataValidation!$B$9,'Vols - Forward Curve'!L81,IF('Cap Pricer'!$G$27=DataValidation!$B$10,'Vols - Forward Curve'!M81,IF('Cap Pricer'!$G$27=DataValidation!$B$11,'Vols - Forward Curve'!N81,"")))))))))</f>
        <v>3.7951100000000001E-2</v>
      </c>
      <c r="S81" s="176">
        <f t="shared" si="16"/>
        <v>47598</v>
      </c>
      <c r="T81" s="172">
        <v>2.6875000000000069E-2</v>
      </c>
    </row>
    <row r="82" spans="1:20" x14ac:dyDescent="0.25">
      <c r="A82" s="33">
        <f>Volatilities_Resets!C84</f>
        <v>47628</v>
      </c>
      <c r="B82" s="130">
        <f>Volatilities_Resets!AC84/100</f>
        <v>1.1395999999999999</v>
      </c>
      <c r="C82" s="37"/>
      <c r="D82" s="130">
        <f>Volatilities_Resets!E84/100</f>
        <v>3.7953100000000003E-2</v>
      </c>
      <c r="E82" s="34"/>
      <c r="F82" s="37">
        <f t="shared" si="10"/>
        <v>-0.18697241707663587</v>
      </c>
      <c r="G82" s="37">
        <f t="shared" si="11"/>
        <v>-7.4509658538317938E-2</v>
      </c>
      <c r="H82" s="37">
        <f t="shared" si="12"/>
        <v>0.15041585853831793</v>
      </c>
      <c r="I82" s="37">
        <f t="shared" si="13"/>
        <v>0.2628786170766359</v>
      </c>
      <c r="K82" s="37">
        <f t="shared" si="9"/>
        <v>2.6828125000000071E-2</v>
      </c>
      <c r="L82" s="34">
        <v>0.06</v>
      </c>
      <c r="M82" s="27">
        <f t="shared" si="14"/>
        <v>4.0453100000000006E-2</v>
      </c>
      <c r="N82" s="37">
        <f t="shared" si="15"/>
        <v>4.2953100000000001E-2</v>
      </c>
      <c r="P82" s="37">
        <f>IF('Cap Pricer'!$G$27=DataValidation!$B$2,'Vols - Forward Curve'!I82,IF('Cap Pricer'!$G$27=DataValidation!$B$3,'Vols - Forward Curve'!H82,IF('Cap Pricer'!$G$27=DataValidation!$B$4,'Vols - Forward Curve'!D82,IF('Cap Pricer'!$G$27=DataValidation!$B$5,'Vols - Forward Curve'!G82,IF('Cap Pricer'!$G$27=DataValidation!$B$6,'Vols - Forward Curve'!F82,IF('Cap Pricer'!$G$27=DataValidation!$B$8,'Vols - Forward Curve'!K82,IF('Cap Pricer'!$G$27=DataValidation!$B$9,'Vols - Forward Curve'!L82,IF('Cap Pricer'!$G$27=DataValidation!$B$10,'Vols - Forward Curve'!M82,IF('Cap Pricer'!$G$27=DataValidation!$B$11,'Vols - Forward Curve'!N82,"")))))))))</f>
        <v>3.7953100000000003E-2</v>
      </c>
      <c r="S82" s="176">
        <f t="shared" si="16"/>
        <v>47628</v>
      </c>
      <c r="T82" s="172">
        <v>2.6828125000000071E-2</v>
      </c>
    </row>
    <row r="83" spans="1:20" x14ac:dyDescent="0.25">
      <c r="A83" s="33">
        <f>Volatilities_Resets!C85</f>
        <v>47659</v>
      </c>
      <c r="B83" s="130">
        <f>Volatilities_Resets!AC85/100</f>
        <v>1.1387</v>
      </c>
      <c r="C83" s="37"/>
      <c r="D83" s="130">
        <f>Volatilities_Resets!E85/100</f>
        <v>3.7951100000000001E-2</v>
      </c>
      <c r="E83" s="34"/>
      <c r="F83" s="37">
        <f t="shared" si="10"/>
        <v>-0.18821155614067261</v>
      </c>
      <c r="G83" s="37">
        <f t="shared" si="11"/>
        <v>-7.5130228070336313E-2</v>
      </c>
      <c r="H83" s="37">
        <f t="shared" si="12"/>
        <v>0.15103242807033632</v>
      </c>
      <c r="I83" s="37">
        <f t="shared" si="13"/>
        <v>0.26411375614067262</v>
      </c>
      <c r="K83" s="37">
        <f t="shared" si="9"/>
        <v>2.6781250000000072E-2</v>
      </c>
      <c r="L83" s="34">
        <v>0.06</v>
      </c>
      <c r="M83" s="27">
        <f t="shared" si="14"/>
        <v>4.0451100000000004E-2</v>
      </c>
      <c r="N83" s="37">
        <f t="shared" si="15"/>
        <v>4.2951099999999999E-2</v>
      </c>
      <c r="P83" s="37">
        <f>IF('Cap Pricer'!$G$27=DataValidation!$B$2,'Vols - Forward Curve'!I83,IF('Cap Pricer'!$G$27=DataValidation!$B$3,'Vols - Forward Curve'!H83,IF('Cap Pricer'!$G$27=DataValidation!$B$4,'Vols - Forward Curve'!D83,IF('Cap Pricer'!$G$27=DataValidation!$B$5,'Vols - Forward Curve'!G83,IF('Cap Pricer'!$G$27=DataValidation!$B$6,'Vols - Forward Curve'!F83,IF('Cap Pricer'!$G$27=DataValidation!$B$8,'Vols - Forward Curve'!K83,IF('Cap Pricer'!$G$27=DataValidation!$B$9,'Vols - Forward Curve'!L83,IF('Cap Pricer'!$G$27=DataValidation!$B$10,'Vols - Forward Curve'!M83,IF('Cap Pricer'!$G$27=DataValidation!$B$11,'Vols - Forward Curve'!N83,"")))))))))</f>
        <v>3.7951100000000001E-2</v>
      </c>
      <c r="S83" s="176">
        <f t="shared" si="16"/>
        <v>47659</v>
      </c>
      <c r="T83" s="172">
        <v>2.6781250000000072E-2</v>
      </c>
    </row>
    <row r="84" spans="1:20" x14ac:dyDescent="0.25">
      <c r="A84" s="33">
        <f>Volatilities_Resets!C86</f>
        <v>47689</v>
      </c>
      <c r="B84" s="130">
        <f>Volatilities_Resets!AC86/100</f>
        <v>1.1262999999999999</v>
      </c>
      <c r="C84" s="37"/>
      <c r="D84" s="130">
        <f>Volatilities_Resets!E86/100</f>
        <v>3.7957100000000001E-2</v>
      </c>
      <c r="E84" s="34"/>
      <c r="F84" s="37">
        <f t="shared" si="10"/>
        <v>-0.18713545374838897</v>
      </c>
      <c r="G84" s="37">
        <f t="shared" si="11"/>
        <v>-7.4589176874194474E-2</v>
      </c>
      <c r="H84" s="37">
        <f t="shared" si="12"/>
        <v>0.15050337687419449</v>
      </c>
      <c r="I84" s="37">
        <f t="shared" si="13"/>
        <v>0.26304965374838896</v>
      </c>
      <c r="K84" s="37">
        <f t="shared" si="9"/>
        <v>2.6734375000000074E-2</v>
      </c>
      <c r="L84" s="34">
        <v>0.06</v>
      </c>
      <c r="M84" s="27">
        <f t="shared" si="14"/>
        <v>4.0457100000000003E-2</v>
      </c>
      <c r="N84" s="37">
        <f t="shared" si="15"/>
        <v>4.2957099999999998E-2</v>
      </c>
      <c r="P84" s="37">
        <f>IF('Cap Pricer'!$G$27=DataValidation!$B$2,'Vols - Forward Curve'!I84,IF('Cap Pricer'!$G$27=DataValidation!$B$3,'Vols - Forward Curve'!H84,IF('Cap Pricer'!$G$27=DataValidation!$B$4,'Vols - Forward Curve'!D84,IF('Cap Pricer'!$G$27=DataValidation!$B$5,'Vols - Forward Curve'!G84,IF('Cap Pricer'!$G$27=DataValidation!$B$6,'Vols - Forward Curve'!F84,IF('Cap Pricer'!$G$27=DataValidation!$B$8,'Vols - Forward Curve'!K84,IF('Cap Pricer'!$G$27=DataValidation!$B$9,'Vols - Forward Curve'!L84,IF('Cap Pricer'!$G$27=DataValidation!$B$10,'Vols - Forward Curve'!M84,IF('Cap Pricer'!$G$27=DataValidation!$B$11,'Vols - Forward Curve'!N84,"")))))))))</f>
        <v>3.7957100000000001E-2</v>
      </c>
      <c r="S84" s="176">
        <f t="shared" si="16"/>
        <v>47689</v>
      </c>
      <c r="T84" s="172">
        <v>2.6734375000000074E-2</v>
      </c>
    </row>
    <row r="85" spans="1:20" x14ac:dyDescent="0.25">
      <c r="A85" s="33">
        <f>Volatilities_Resets!C87</f>
        <v>47720</v>
      </c>
      <c r="B85" s="130">
        <f>Volatilities_Resets!AC87/100</f>
        <v>1.1126</v>
      </c>
      <c r="C85" s="37"/>
      <c r="D85" s="130">
        <f>Volatilities_Resets!E87/100</f>
        <v>3.7953100000000003E-2</v>
      </c>
      <c r="E85" s="34"/>
      <c r="F85" s="37">
        <f t="shared" si="10"/>
        <v>-0.18575501002991493</v>
      </c>
      <c r="G85" s="37">
        <f t="shared" si="11"/>
        <v>-7.390095501495747E-2</v>
      </c>
      <c r="H85" s="37">
        <f t="shared" si="12"/>
        <v>0.14980715501495748</v>
      </c>
      <c r="I85" s="37">
        <f t="shared" si="13"/>
        <v>0.26166121002991494</v>
      </c>
      <c r="K85" s="37">
        <f t="shared" si="9"/>
        <v>2.6687500000000076E-2</v>
      </c>
      <c r="L85" s="34">
        <v>0.06</v>
      </c>
      <c r="M85" s="27">
        <f t="shared" si="14"/>
        <v>4.0453100000000006E-2</v>
      </c>
      <c r="N85" s="37">
        <f t="shared" si="15"/>
        <v>4.2953100000000001E-2</v>
      </c>
      <c r="P85" s="37">
        <f>IF('Cap Pricer'!$G$27=DataValidation!$B$2,'Vols - Forward Curve'!I85,IF('Cap Pricer'!$G$27=DataValidation!$B$3,'Vols - Forward Curve'!H85,IF('Cap Pricer'!$G$27=DataValidation!$B$4,'Vols - Forward Curve'!D85,IF('Cap Pricer'!$G$27=DataValidation!$B$5,'Vols - Forward Curve'!G85,IF('Cap Pricer'!$G$27=DataValidation!$B$6,'Vols - Forward Curve'!F85,IF('Cap Pricer'!$G$27=DataValidation!$B$8,'Vols - Forward Curve'!K85,IF('Cap Pricer'!$G$27=DataValidation!$B$9,'Vols - Forward Curve'!L85,IF('Cap Pricer'!$G$27=DataValidation!$B$10,'Vols - Forward Curve'!M85,IF('Cap Pricer'!$G$27=DataValidation!$B$11,'Vols - Forward Curve'!N85,"")))))))))</f>
        <v>3.7953100000000003E-2</v>
      </c>
      <c r="S85" s="176">
        <f t="shared" si="16"/>
        <v>47720</v>
      </c>
      <c r="T85" s="172">
        <v>2.6687500000000076E-2</v>
      </c>
    </row>
    <row r="86" spans="1:20" x14ac:dyDescent="0.25">
      <c r="A86" s="35"/>
      <c r="K86"/>
      <c r="S86" s="199">
        <f t="shared" si="16"/>
        <v>47751</v>
      </c>
      <c r="T86" s="198">
        <v>2.6640625000000077E-2</v>
      </c>
    </row>
    <row r="87" spans="1:20" x14ac:dyDescent="0.25">
      <c r="K87"/>
      <c r="S87" s="40"/>
      <c r="T87" s="166"/>
    </row>
    <row r="88" spans="1:20" x14ac:dyDescent="0.25">
      <c r="K88"/>
      <c r="S88" s="40"/>
      <c r="T88" s="166"/>
    </row>
    <row r="89" spans="1:20" x14ac:dyDescent="0.25">
      <c r="K89"/>
      <c r="S89" s="40"/>
      <c r="T89" s="166"/>
    </row>
    <row r="90" spans="1:20" x14ac:dyDescent="0.25">
      <c r="K90"/>
      <c r="S90" s="40"/>
      <c r="T90" s="166"/>
    </row>
    <row r="91" spans="1:20" x14ac:dyDescent="0.25">
      <c r="K91"/>
      <c r="S91" s="40"/>
      <c r="T91" s="166"/>
    </row>
    <row r="92" spans="1:20" x14ac:dyDescent="0.25">
      <c r="K92"/>
      <c r="S92" s="40"/>
      <c r="T92" s="166"/>
    </row>
    <row r="93" spans="1:20" x14ac:dyDescent="0.25">
      <c r="K93"/>
      <c r="S93" s="40"/>
      <c r="T93" s="166"/>
    </row>
    <row r="94" spans="1:20" x14ac:dyDescent="0.25">
      <c r="K94"/>
      <c r="S94" s="40"/>
      <c r="T94" s="166"/>
    </row>
    <row r="95" spans="1:20" x14ac:dyDescent="0.25">
      <c r="K95"/>
      <c r="S95" s="40"/>
      <c r="T95" s="166"/>
    </row>
    <row r="96" spans="1:20" x14ac:dyDescent="0.25">
      <c r="K96"/>
      <c r="S96" s="40"/>
      <c r="T96" s="166"/>
    </row>
    <row r="97" spans="11:20" x14ac:dyDescent="0.25">
      <c r="K97"/>
      <c r="S97" s="40"/>
      <c r="T97" s="166"/>
    </row>
    <row r="98" spans="11:20" x14ac:dyDescent="0.25">
      <c r="K98"/>
      <c r="S98" s="40"/>
      <c r="T98" s="166"/>
    </row>
    <row r="99" spans="11:20" x14ac:dyDescent="0.25">
      <c r="K99"/>
      <c r="S99" s="40"/>
      <c r="T99" s="166"/>
    </row>
    <row r="100" spans="11:20" x14ac:dyDescent="0.25">
      <c r="K100"/>
      <c r="S100" s="40"/>
      <c r="T100" s="166"/>
    </row>
    <row r="101" spans="11:20" x14ac:dyDescent="0.25">
      <c r="K101"/>
      <c r="S101" s="40"/>
      <c r="T101" s="166"/>
    </row>
    <row r="102" spans="11:20" x14ac:dyDescent="0.25">
      <c r="K102"/>
      <c r="S102" s="40"/>
      <c r="T102" s="166"/>
    </row>
    <row r="103" spans="11:20" x14ac:dyDescent="0.25">
      <c r="K103"/>
      <c r="S103" s="40"/>
      <c r="T103" s="166"/>
    </row>
    <row r="104" spans="11:20" x14ac:dyDescent="0.25">
      <c r="K104"/>
      <c r="S104" s="40"/>
      <c r="T104" s="166"/>
    </row>
    <row r="105" spans="11:20" x14ac:dyDescent="0.25">
      <c r="K105"/>
      <c r="S105" s="40"/>
      <c r="T105" s="166"/>
    </row>
    <row r="106" spans="11:20" x14ac:dyDescent="0.25">
      <c r="K106"/>
      <c r="S106" s="40"/>
      <c r="T106" s="166"/>
    </row>
    <row r="107" spans="11:20" x14ac:dyDescent="0.25">
      <c r="K107"/>
      <c r="S107" s="40"/>
      <c r="T107" s="166"/>
    </row>
    <row r="108" spans="11:20" x14ac:dyDescent="0.25">
      <c r="K108"/>
      <c r="S108" s="40"/>
      <c r="T108" s="166"/>
    </row>
    <row r="109" spans="11:20" x14ac:dyDescent="0.25">
      <c r="K109"/>
      <c r="S109" s="40"/>
      <c r="T109" s="166"/>
    </row>
    <row r="110" spans="11:20" x14ac:dyDescent="0.25">
      <c r="K110"/>
      <c r="S110" s="40"/>
      <c r="T110" s="166"/>
    </row>
    <row r="111" spans="11:20" x14ac:dyDescent="0.25">
      <c r="K111"/>
      <c r="S111" s="40"/>
      <c r="T111" s="166"/>
    </row>
    <row r="112" spans="11:20" x14ac:dyDescent="0.25">
      <c r="K112"/>
      <c r="S112" s="40"/>
      <c r="T112" s="166"/>
    </row>
    <row r="113" spans="11:20" x14ac:dyDescent="0.25">
      <c r="K113"/>
      <c r="S113" s="40"/>
      <c r="T113" s="167"/>
    </row>
    <row r="114" spans="11:20" x14ac:dyDescent="0.25">
      <c r="K114"/>
      <c r="S114" s="40"/>
      <c r="T114" s="167"/>
    </row>
    <row r="115" spans="11:20" x14ac:dyDescent="0.25">
      <c r="K115"/>
      <c r="S115" s="40"/>
      <c r="T115" s="167"/>
    </row>
    <row r="116" spans="11:20" x14ac:dyDescent="0.25">
      <c r="K116"/>
      <c r="S116" s="40"/>
      <c r="T116" s="167"/>
    </row>
    <row r="117" spans="11:20" x14ac:dyDescent="0.25">
      <c r="K117"/>
      <c r="S117" s="40"/>
      <c r="T117" s="167"/>
    </row>
    <row r="118" spans="11:20" x14ac:dyDescent="0.25">
      <c r="K118"/>
      <c r="S118" s="40"/>
      <c r="T118" s="167"/>
    </row>
    <row r="119" spans="11:20" x14ac:dyDescent="0.25">
      <c r="K119"/>
      <c r="S119" s="40"/>
      <c r="T119" s="167"/>
    </row>
    <row r="120" spans="11:20" x14ac:dyDescent="0.25">
      <c r="K120"/>
      <c r="S120" s="40"/>
      <c r="T120" s="167"/>
    </row>
    <row r="121" spans="11:20" x14ac:dyDescent="0.25">
      <c r="S121" s="40"/>
      <c r="T121" s="167"/>
    </row>
    <row r="122" spans="11:20" x14ac:dyDescent="0.25">
      <c r="S122" s="40"/>
      <c r="T122" s="129"/>
    </row>
    <row r="123" spans="11:20" x14ac:dyDescent="0.25">
      <c r="S123" s="40"/>
      <c r="T123" s="129"/>
    </row>
    <row r="124" spans="11:20" x14ac:dyDescent="0.25">
      <c r="S124" s="40"/>
      <c r="T124" s="129"/>
    </row>
    <row r="125" spans="11:20" x14ac:dyDescent="0.25">
      <c r="S125" s="40"/>
      <c r="T125" s="129"/>
    </row>
    <row r="126" spans="11:20" x14ac:dyDescent="0.25">
      <c r="S126" s="40"/>
      <c r="T126" s="129"/>
    </row>
    <row r="127" spans="11:20" x14ac:dyDescent="0.25">
      <c r="S127" s="40"/>
      <c r="T127" s="129"/>
    </row>
    <row r="128" spans="11:20" x14ac:dyDescent="0.25">
      <c r="S128" s="40"/>
      <c r="T128" s="129"/>
    </row>
    <row r="129" spans="19:20" x14ac:dyDescent="0.25">
      <c r="S129" s="40"/>
      <c r="T129" s="129"/>
    </row>
    <row r="130" spans="19:20" x14ac:dyDescent="0.25">
      <c r="S130" s="40"/>
      <c r="T130" s="129"/>
    </row>
    <row r="131" spans="19:20" x14ac:dyDescent="0.25">
      <c r="S131" s="40"/>
      <c r="T131" s="129"/>
    </row>
    <row r="132" spans="19:20" x14ac:dyDescent="0.25">
      <c r="S132" s="40"/>
      <c r="T132" s="129"/>
    </row>
    <row r="133" spans="19:20" x14ac:dyDescent="0.25">
      <c r="S133" s="40"/>
      <c r="T133" s="129"/>
    </row>
    <row r="134" spans="19:20" x14ac:dyDescent="0.25">
      <c r="S134" s="40"/>
      <c r="T134" s="129"/>
    </row>
    <row r="135" spans="19:20" x14ac:dyDescent="0.25">
      <c r="S135" s="40"/>
    </row>
    <row r="136" spans="19:20" x14ac:dyDescent="0.25">
      <c r="S136" s="40"/>
    </row>
    <row r="137" spans="19:20" x14ac:dyDescent="0.25">
      <c r="S137" s="40"/>
    </row>
  </sheetData>
  <sheetProtection algorithmName="SHA-512" hashValue="Wy6oOaRAC5rC5o0wI3F8Skc7SSERF7+1lsehQuGvU76OFT2F0sy3syJwbqIzBpu3la5lQqGDoTFsLut6BTQL+g==" saltValue="EQa0Ch2cANSinWc2T/2/T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13</vt:i4>
      </vt:variant>
    </vt:vector>
  </HeadingPairs>
  <TitlesOfParts>
    <vt:vector size="14" baseType="lpstr">
      <vt:lpstr>Cap Pricer</vt:lpstr>
      <vt:lpstr>notional</vt:lpstr>
      <vt:lpstr>StepUp1</vt:lpstr>
      <vt:lpstr>StepUp2</vt:lpstr>
      <vt:lpstr>StepUp3</vt:lpstr>
      <vt:lpstr>StepUp4</vt:lpstr>
      <vt:lpstr>StepUp5</vt:lpstr>
      <vt:lpstr>StepUp6</vt:lpstr>
      <vt:lpstr>StepUp7</vt:lpstr>
      <vt:lpstr>strike</vt:lpstr>
      <vt:lpstr>strikeType</vt:lpstr>
      <vt:lpstr>term</vt:lpstr>
      <vt:lpstr>test</vt:lpstr>
      <vt:lpstr>triggers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Jessie Baron</cp:lastModifiedBy>
  <cp:lastPrinted>2021-06-04T21:57:21Z</cp:lastPrinted>
  <dcterms:created xsi:type="dcterms:W3CDTF">2017-08-31T13:21:22Z</dcterms:created>
  <dcterms:modified xsi:type="dcterms:W3CDTF">2023-09-22T20:34:36Z</dcterms:modified>
</cp:coreProperties>
</file>